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-whgl094\共有２\●プランパーツ\簡単見積\"/>
    </mc:Choice>
  </mc:AlternateContent>
  <bookViews>
    <workbookView xWindow="0" yWindow="0" windowWidth="18165" windowHeight="7710"/>
  </bookViews>
  <sheets>
    <sheet name="簡単見積依頼" sheetId="4" r:id="rId1"/>
    <sheet name="計算シート" sheetId="3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3" l="1"/>
  <c r="H48" i="3"/>
  <c r="J3" i="3" l="1"/>
  <c r="H3" i="3"/>
  <c r="B36" i="3" l="1"/>
  <c r="B35" i="3"/>
  <c r="B34" i="3"/>
  <c r="B33" i="3"/>
  <c r="D34" i="3" s="1"/>
  <c r="B21" i="3"/>
  <c r="B20" i="3"/>
  <c r="B19" i="3"/>
  <c r="B18" i="3"/>
  <c r="D19" i="3" s="1"/>
  <c r="B6" i="3"/>
  <c r="B3" i="3"/>
  <c r="D4" i="3" s="1"/>
  <c r="B4" i="3"/>
  <c r="B5" i="3"/>
  <c r="D5" i="3" s="1"/>
  <c r="D24" i="3"/>
  <c r="D25" i="3" s="1"/>
  <c r="D20" i="3"/>
  <c r="E18" i="3"/>
  <c r="D18" i="3" s="1"/>
  <c r="D9" i="3"/>
  <c r="D10" i="3" s="1"/>
  <c r="E3" i="3"/>
  <c r="D3" i="3" s="1"/>
  <c r="D39" i="3"/>
  <c r="D40" i="3" s="1"/>
  <c r="D35" i="3"/>
  <c r="E33" i="3"/>
  <c r="D33" i="3" s="1"/>
  <c r="B38" i="3" l="1"/>
  <c r="J33" i="3"/>
  <c r="H33" i="3"/>
  <c r="B23" i="3"/>
  <c r="J18" i="3"/>
  <c r="H18" i="3"/>
  <c r="B8" i="3"/>
  <c r="H53" i="3" l="1"/>
  <c r="B61" i="3" l="1"/>
  <c r="B60" i="3"/>
  <c r="B59" i="3"/>
  <c r="G119" i="3"/>
  <c r="G118" i="3"/>
  <c r="G117" i="3"/>
  <c r="G116" i="3"/>
  <c r="G115" i="3"/>
  <c r="B55" i="3"/>
  <c r="B54" i="3"/>
  <c r="B53" i="3"/>
  <c r="J53" i="3" s="1"/>
  <c r="B50" i="3"/>
  <c r="B49" i="3"/>
  <c r="B48" i="3"/>
  <c r="D48" i="3" l="1"/>
  <c r="E48" i="3"/>
  <c r="E59" i="3"/>
  <c r="J59" i="3" s="1"/>
  <c r="H59" i="3" s="1"/>
  <c r="D53" i="3"/>
  <c r="E53" i="3"/>
  <c r="J5" i="3"/>
  <c r="S2" i="3"/>
  <c r="Q74" i="3" s="1"/>
  <c r="G100" i="3"/>
  <c r="G99" i="3"/>
  <c r="G98" i="3"/>
  <c r="G97" i="3"/>
  <c r="G96" i="3"/>
  <c r="G95" i="3"/>
  <c r="G94" i="3"/>
  <c r="G89" i="3"/>
  <c r="G88" i="3"/>
  <c r="G87" i="3"/>
  <c r="G86" i="3"/>
  <c r="G85" i="3"/>
  <c r="G76" i="3"/>
  <c r="G77" i="3"/>
  <c r="G78" i="3"/>
  <c r="G79" i="3"/>
  <c r="G80" i="3"/>
  <c r="D59" i="3" l="1"/>
  <c r="S4" i="3"/>
  <c r="J64" i="3"/>
  <c r="J119" i="3" s="1"/>
  <c r="J63" i="3"/>
  <c r="J118" i="3" s="1"/>
  <c r="B63" i="3"/>
  <c r="D63" i="3" s="1"/>
  <c r="J62" i="3"/>
  <c r="J117" i="3" s="1"/>
  <c r="J61" i="3"/>
  <c r="J116" i="3" s="1"/>
  <c r="J60" i="3"/>
  <c r="J115" i="3" s="1"/>
  <c r="D60" i="3"/>
  <c r="I62" i="3" s="1"/>
  <c r="D49" i="3"/>
  <c r="I48" i="3" s="1"/>
  <c r="I106" i="3" s="1"/>
  <c r="J110" i="3"/>
  <c r="D54" i="3"/>
  <c r="I53" i="3" s="1"/>
  <c r="J4" i="3"/>
  <c r="J76" i="3" s="1"/>
  <c r="J40" i="3"/>
  <c r="J100" i="3" s="1"/>
  <c r="J39" i="3"/>
  <c r="J99" i="3" s="1"/>
  <c r="J38" i="3"/>
  <c r="J98" i="3" s="1"/>
  <c r="J37" i="3"/>
  <c r="J97" i="3" s="1"/>
  <c r="J36" i="3"/>
  <c r="J96" i="3" s="1"/>
  <c r="J35" i="3"/>
  <c r="J95" i="3" s="1"/>
  <c r="J34" i="3"/>
  <c r="J94" i="3" s="1"/>
  <c r="J23" i="3"/>
  <c r="J89" i="3" s="1"/>
  <c r="J22" i="3"/>
  <c r="J88" i="3" s="1"/>
  <c r="J21" i="3"/>
  <c r="J87" i="3" s="1"/>
  <c r="J20" i="3"/>
  <c r="J86" i="3" s="1"/>
  <c r="J19" i="3"/>
  <c r="J85" i="3" s="1"/>
  <c r="J8" i="3"/>
  <c r="J80" i="3" s="1"/>
  <c r="J7" i="3"/>
  <c r="J79" i="3" s="1"/>
  <c r="J6" i="3"/>
  <c r="J78" i="3" s="1"/>
  <c r="J77" i="3"/>
  <c r="G84" i="3" l="1"/>
  <c r="K53" i="3"/>
  <c r="K110" i="3" s="1"/>
  <c r="I110" i="3"/>
  <c r="J106" i="3"/>
  <c r="G106" i="3"/>
  <c r="K48" i="3"/>
  <c r="K106" i="3" s="1"/>
  <c r="G110" i="3"/>
  <c r="D21" i="3"/>
  <c r="B56" i="3"/>
  <c r="K55" i="3"/>
  <c r="J111" i="3" s="1"/>
  <c r="B51" i="3"/>
  <c r="E63" i="3"/>
  <c r="D64" i="3" s="1"/>
  <c r="D67" i="3" s="1"/>
  <c r="F69" i="3"/>
  <c r="F70" i="3" s="1"/>
  <c r="G75" i="3"/>
  <c r="D6" i="3" l="1"/>
  <c r="U4" i="3" s="1"/>
  <c r="U3" i="3"/>
  <c r="K50" i="3"/>
  <c r="J107" i="3" s="1"/>
  <c r="D37" i="3"/>
  <c r="D36" i="3"/>
  <c r="I38" i="3"/>
  <c r="K38" i="3" s="1"/>
  <c r="K98" i="3" s="1"/>
  <c r="G93" i="3"/>
  <c r="I3" i="3"/>
  <c r="I75" i="3" s="1"/>
  <c r="G114" i="3"/>
  <c r="I59" i="3"/>
  <c r="J114" i="3"/>
  <c r="I64" i="3"/>
  <c r="I33" i="3"/>
  <c r="K33" i="3" s="1"/>
  <c r="K93" i="3" s="1"/>
  <c r="I18" i="3"/>
  <c r="K18" i="3" s="1"/>
  <c r="K84" i="3" s="1"/>
  <c r="J84" i="3"/>
  <c r="D22" i="3"/>
  <c r="F39" i="3"/>
  <c r="J75" i="3"/>
  <c r="D7" i="3"/>
  <c r="I6" i="3" s="1"/>
  <c r="E67" i="3"/>
  <c r="D66" i="3"/>
  <c r="D65" i="3"/>
  <c r="F65" i="3" s="1"/>
  <c r="D42" i="3"/>
  <c r="D41" i="3"/>
  <c r="E39" i="3" s="1"/>
  <c r="D26" i="3"/>
  <c r="E24" i="3" s="1"/>
  <c r="D27" i="3"/>
  <c r="D11" i="3"/>
  <c r="E9" i="3" s="1"/>
  <c r="D12" i="3"/>
  <c r="X3" i="3" l="1"/>
  <c r="Q75" i="3" s="1"/>
  <c r="X4" i="3"/>
  <c r="Q76" i="3" s="1"/>
  <c r="I34" i="3"/>
  <c r="K34" i="3" s="1"/>
  <c r="K94" i="3" s="1"/>
  <c r="I93" i="3"/>
  <c r="J93" i="3"/>
  <c r="I60" i="3"/>
  <c r="K60" i="3" s="1"/>
  <c r="K115" i="3" s="1"/>
  <c r="I84" i="3"/>
  <c r="I35" i="3"/>
  <c r="I95" i="3" s="1"/>
  <c r="K3" i="3"/>
  <c r="K75" i="3" s="1"/>
  <c r="I115" i="3"/>
  <c r="I119" i="3"/>
  <c r="K64" i="3"/>
  <c r="K119" i="3" s="1"/>
  <c r="I114" i="3"/>
  <c r="K59" i="3"/>
  <c r="I117" i="3"/>
  <c r="K62" i="3"/>
  <c r="K117" i="3" s="1"/>
  <c r="I21" i="3"/>
  <c r="K21" i="3" s="1"/>
  <c r="K87" i="3" s="1"/>
  <c r="I98" i="3"/>
  <c r="F66" i="3"/>
  <c r="I61" i="3" s="1"/>
  <c r="K61" i="3" s="1"/>
  <c r="K116" i="3" s="1"/>
  <c r="D43" i="3"/>
  <c r="I39" i="3" s="1"/>
  <c r="F42" i="3"/>
  <c r="F44" i="3" s="1"/>
  <c r="F45" i="3" s="1"/>
  <c r="E42" i="3"/>
  <c r="F27" i="3"/>
  <c r="E27" i="3"/>
  <c r="I20" i="3" s="1"/>
  <c r="K20" i="3" s="1"/>
  <c r="D28" i="3"/>
  <c r="I19" i="3"/>
  <c r="K19" i="3" s="1"/>
  <c r="F12" i="3"/>
  <c r="E12" i="3"/>
  <c r="I5" i="3" s="1"/>
  <c r="D13" i="3"/>
  <c r="I7" i="3" s="1"/>
  <c r="I4" i="3"/>
  <c r="R77" i="3" l="1"/>
  <c r="R78" i="3" s="1"/>
  <c r="I94" i="3"/>
  <c r="K35" i="3"/>
  <c r="K95" i="3" s="1"/>
  <c r="D68" i="3"/>
  <c r="I63" i="3" s="1"/>
  <c r="I116" i="3"/>
  <c r="I40" i="3"/>
  <c r="K40" i="3" s="1"/>
  <c r="K100" i="3" s="1"/>
  <c r="I37" i="3"/>
  <c r="K37" i="3" s="1"/>
  <c r="K97" i="3" s="1"/>
  <c r="I36" i="3"/>
  <c r="K36" i="3" s="1"/>
  <c r="K96" i="3" s="1"/>
  <c r="K114" i="3"/>
  <c r="I22" i="3"/>
  <c r="K22" i="3" s="1"/>
  <c r="K88" i="3" s="1"/>
  <c r="K39" i="3"/>
  <c r="I87" i="3"/>
  <c r="K86" i="3"/>
  <c r="I86" i="3"/>
  <c r="F24" i="3"/>
  <c r="F29" i="3" s="1"/>
  <c r="F30" i="3" s="1"/>
  <c r="F9" i="3"/>
  <c r="F14" i="3" s="1"/>
  <c r="F15" i="3" s="1"/>
  <c r="I8" i="3" s="1"/>
  <c r="I96" i="3" l="1"/>
  <c r="I100" i="3"/>
  <c r="I97" i="3"/>
  <c r="I118" i="3"/>
  <c r="K63" i="3"/>
  <c r="I23" i="3"/>
  <c r="K23" i="3" s="1"/>
  <c r="K24" i="3" s="1"/>
  <c r="I99" i="3"/>
  <c r="I88" i="3"/>
  <c r="K99" i="3"/>
  <c r="K41" i="3"/>
  <c r="J101" i="3" s="1"/>
  <c r="K85" i="3"/>
  <c r="I85" i="3"/>
  <c r="I76" i="3"/>
  <c r="K4" i="3"/>
  <c r="K76" i="3" s="1"/>
  <c r="I77" i="3"/>
  <c r="K5" i="3"/>
  <c r="K77" i="3" s="1"/>
  <c r="I78" i="3"/>
  <c r="K6" i="3"/>
  <c r="K78" i="3" s="1"/>
  <c r="I79" i="3"/>
  <c r="K7" i="3"/>
  <c r="K79" i="3" s="1"/>
  <c r="I80" i="3"/>
  <c r="K8" i="3"/>
  <c r="K80" i="3" s="1"/>
  <c r="K89" i="3" l="1"/>
  <c r="K118" i="3"/>
  <c r="K65" i="3"/>
  <c r="J120" i="3" s="1"/>
  <c r="I89" i="3"/>
  <c r="J90" i="3"/>
  <c r="K9" i="3"/>
  <c r="J81" i="3" s="1"/>
</calcChain>
</file>

<file path=xl/sharedStrings.xml><?xml version="1.0" encoding="utf-8"?>
<sst xmlns="http://schemas.openxmlformats.org/spreadsheetml/2006/main" count="356" uniqueCount="141">
  <si>
    <t>高さ</t>
    <rPh sb="0" eb="1">
      <t>タカ</t>
    </rPh>
    <phoneticPr fontId="1"/>
  </si>
  <si>
    <t>幅</t>
    <rPh sb="0" eb="1">
      <t>ハバ</t>
    </rPh>
    <phoneticPr fontId="1"/>
  </si>
  <si>
    <t>下部隙間</t>
    <rPh sb="0" eb="2">
      <t>カブ</t>
    </rPh>
    <rPh sb="2" eb="4">
      <t>スキマ</t>
    </rPh>
    <phoneticPr fontId="1"/>
  </si>
  <si>
    <t>隙間</t>
    <rPh sb="0" eb="2">
      <t>スキマ</t>
    </rPh>
    <phoneticPr fontId="1"/>
  </si>
  <si>
    <t>L2000で計算</t>
    <rPh sb="6" eb="8">
      <t>ケイサン</t>
    </rPh>
    <phoneticPr fontId="1"/>
  </si>
  <si>
    <t>袋/50個</t>
    <rPh sb="0" eb="1">
      <t>フクロ</t>
    </rPh>
    <rPh sb="4" eb="5">
      <t>コ</t>
    </rPh>
    <phoneticPr fontId="1"/>
  </si>
  <si>
    <t>ネジの数合計</t>
    <rPh sb="3" eb="4">
      <t>カズ</t>
    </rPh>
    <rPh sb="4" eb="6">
      <t>ゴウケイ</t>
    </rPh>
    <phoneticPr fontId="1"/>
  </si>
  <si>
    <t>高さ</t>
    <rPh sb="0" eb="1">
      <t>タカ</t>
    </rPh>
    <phoneticPr fontId="6"/>
  </si>
  <si>
    <t>ｍｍ</t>
    <phoneticPr fontId="6"/>
  </si>
  <si>
    <t>幅</t>
    <rPh sb="0" eb="1">
      <t>ハバ</t>
    </rPh>
    <phoneticPr fontId="6"/>
  </si>
  <si>
    <t>ｍｍ</t>
    <phoneticPr fontId="6"/>
  </si>
  <si>
    <t>隙間</t>
    <rPh sb="0" eb="2">
      <t>スキマ</t>
    </rPh>
    <phoneticPr fontId="6"/>
  </si>
  <si>
    <t>ｍｍ</t>
    <phoneticPr fontId="6"/>
  </si>
  <si>
    <t>下部隙間</t>
    <rPh sb="0" eb="2">
      <t>カブ</t>
    </rPh>
    <rPh sb="2" eb="4">
      <t>スキマ</t>
    </rPh>
    <phoneticPr fontId="6"/>
  </si>
  <si>
    <t>　【すきま】</t>
  </si>
  <si>
    <t>10ｍｍ</t>
  </si>
  <si>
    <t>もっとも目かくし度が高く、ある程度の近い距離からの視線を遮れます。</t>
    <rPh sb="4" eb="5">
      <t>メ</t>
    </rPh>
    <rPh sb="8" eb="9">
      <t>ド</t>
    </rPh>
    <rPh sb="10" eb="11">
      <t>タカ</t>
    </rPh>
    <rPh sb="15" eb="17">
      <t>テイド</t>
    </rPh>
    <rPh sb="18" eb="19">
      <t>チカ</t>
    </rPh>
    <rPh sb="20" eb="22">
      <t>キョリ</t>
    </rPh>
    <rPh sb="25" eb="27">
      <t>シセン</t>
    </rPh>
    <rPh sb="28" eb="29">
      <t>サエギ</t>
    </rPh>
    <phoneticPr fontId="6"/>
  </si>
  <si>
    <t>15ｍｍ～20ｍｍ</t>
  </si>
  <si>
    <t>一般的なサイズ。遠目から見た場合、ほとんどの視線を遮れます。</t>
    <rPh sb="0" eb="3">
      <t>イッパンテキ</t>
    </rPh>
    <rPh sb="8" eb="10">
      <t>トオメ</t>
    </rPh>
    <rPh sb="12" eb="13">
      <t>ミ</t>
    </rPh>
    <rPh sb="14" eb="16">
      <t>バアイ</t>
    </rPh>
    <rPh sb="22" eb="24">
      <t>シセン</t>
    </rPh>
    <rPh sb="25" eb="26">
      <t>サエギ</t>
    </rPh>
    <phoneticPr fontId="6"/>
  </si>
  <si>
    <t>25ｍｍ～30ｍｍ</t>
  </si>
  <si>
    <t>印象は、気持ち広めです。フェンスの枚数を減らしたい場合などにおすすめです。目かくし度は低いです。</t>
    <rPh sb="0" eb="2">
      <t>インショウ</t>
    </rPh>
    <rPh sb="4" eb="6">
      <t>キモ</t>
    </rPh>
    <rPh sb="7" eb="8">
      <t>ヒロ</t>
    </rPh>
    <rPh sb="17" eb="19">
      <t>マイスウ</t>
    </rPh>
    <rPh sb="20" eb="21">
      <t>ヘ</t>
    </rPh>
    <rPh sb="25" eb="27">
      <t>バアイ</t>
    </rPh>
    <rPh sb="37" eb="38">
      <t>メ</t>
    </rPh>
    <rPh sb="41" eb="42">
      <t>ド</t>
    </rPh>
    <rPh sb="43" eb="44">
      <t>ヒク</t>
    </rPh>
    <phoneticPr fontId="6"/>
  </si>
  <si>
    <t>30ｍｍ～40ｍｍ</t>
  </si>
  <si>
    <t>視線を遮るためには適していません。</t>
    <rPh sb="0" eb="2">
      <t>シセン</t>
    </rPh>
    <rPh sb="3" eb="4">
      <t>サエギ</t>
    </rPh>
    <rPh sb="9" eb="10">
      <t>テキ</t>
    </rPh>
    <phoneticPr fontId="6"/>
  </si>
  <si>
    <t>ｍｍ</t>
    <phoneticPr fontId="6"/>
  </si>
  <si>
    <t>ｍｍ</t>
    <phoneticPr fontId="6"/>
  </si>
  <si>
    <t>75角の場合</t>
    <rPh sb="2" eb="3">
      <t>カク</t>
    </rPh>
    <rPh sb="4" eb="6">
      <t>バアイ</t>
    </rPh>
    <phoneticPr fontId="1"/>
  </si>
  <si>
    <t>埋込部分加算（H2000迄+400・H2001以上+500）</t>
    <rPh sb="0" eb="2">
      <t>ウメコミ</t>
    </rPh>
    <rPh sb="2" eb="4">
      <t>ブブン</t>
    </rPh>
    <rPh sb="4" eb="6">
      <t>カサン</t>
    </rPh>
    <rPh sb="12" eb="13">
      <t>マデ</t>
    </rPh>
    <rPh sb="23" eb="25">
      <t>イジョウ</t>
    </rPh>
    <phoneticPr fontId="1"/>
  </si>
  <si>
    <t>柱の本数(ピッチH1200迄L2000・H1201以上L1000）</t>
    <rPh sb="0" eb="1">
      <t>ハシラ</t>
    </rPh>
    <rPh sb="2" eb="4">
      <t>ホンスウ</t>
    </rPh>
    <rPh sb="13" eb="14">
      <t>マデ</t>
    </rPh>
    <rPh sb="25" eb="27">
      <t>イジョウ</t>
    </rPh>
    <phoneticPr fontId="1"/>
  </si>
  <si>
    <t>1スパンの平板必要枚数(高さ－下部隙間＋隙間)÷平板の幅100＋隙間）</t>
    <rPh sb="5" eb="7">
      <t>ヒライタ</t>
    </rPh>
    <rPh sb="7" eb="9">
      <t>ヒツヨウ</t>
    </rPh>
    <rPh sb="9" eb="11">
      <t>マイスウ</t>
    </rPh>
    <rPh sb="12" eb="13">
      <t>タカ</t>
    </rPh>
    <rPh sb="15" eb="17">
      <t>カブ</t>
    </rPh>
    <rPh sb="17" eb="19">
      <t>スキマ</t>
    </rPh>
    <rPh sb="20" eb="22">
      <t>スキマ</t>
    </rPh>
    <rPh sb="24" eb="26">
      <t>ヒライタ</t>
    </rPh>
    <rPh sb="27" eb="28">
      <t>ハバ</t>
    </rPh>
    <rPh sb="32" eb="34">
      <t>スキマ</t>
    </rPh>
    <phoneticPr fontId="1"/>
  </si>
  <si>
    <t>隙間の数(1スパンの平板枚数-1）</t>
    <rPh sb="0" eb="2">
      <t>スキマ</t>
    </rPh>
    <rPh sb="3" eb="4">
      <t>カズ</t>
    </rPh>
    <rPh sb="10" eb="12">
      <t>ヒライタ</t>
    </rPh>
    <rPh sb="12" eb="14">
      <t>マイスウ</t>
    </rPh>
    <phoneticPr fontId="1"/>
  </si>
  <si>
    <t>平板キャップ数(1スパンの平板枚数×2）</t>
    <rPh sb="0" eb="2">
      <t>ヒライタ</t>
    </rPh>
    <rPh sb="6" eb="7">
      <t>スウ</t>
    </rPh>
    <rPh sb="13" eb="15">
      <t>ヒライタ</t>
    </rPh>
    <rPh sb="15" eb="17">
      <t>マイスウ</t>
    </rPh>
    <phoneticPr fontId="1"/>
  </si>
  <si>
    <t>L2000（幅÷2000）</t>
    <rPh sb="6" eb="7">
      <t>ハバ</t>
    </rPh>
    <phoneticPr fontId="1"/>
  </si>
  <si>
    <t>お客様入力</t>
    <rPh sb="1" eb="3">
      <t>キャクサマ</t>
    </rPh>
    <rPh sb="3" eb="5">
      <t>ニュウリョク</t>
    </rPh>
    <phoneticPr fontId="1"/>
  </si>
  <si>
    <t>必要な長さ</t>
    <rPh sb="0" eb="2">
      <t>ヒツヨウ</t>
    </rPh>
    <rPh sb="3" eb="4">
      <t>ナガ</t>
    </rPh>
    <phoneticPr fontId="1"/>
  </si>
  <si>
    <t>埋込加算</t>
    <rPh sb="0" eb="2">
      <t>ウメコミ</t>
    </rPh>
    <rPh sb="2" eb="4">
      <t>カサン</t>
    </rPh>
    <phoneticPr fontId="1"/>
  </si>
  <si>
    <t>単価</t>
    <rPh sb="0" eb="2">
      <t>タンカ</t>
    </rPh>
    <phoneticPr fontId="1"/>
  </si>
  <si>
    <t>75角</t>
    <rPh sb="2" eb="3">
      <t>カク</t>
    </rPh>
    <phoneticPr fontId="1"/>
  </si>
  <si>
    <t>平板</t>
    <rPh sb="0" eb="2">
      <t>ヒライタ</t>
    </rPh>
    <phoneticPr fontId="1"/>
  </si>
  <si>
    <t>規格ｍｍ</t>
    <rPh sb="0" eb="2">
      <t>キカク</t>
    </rPh>
    <phoneticPr fontId="1"/>
  </si>
  <si>
    <t>平板キャップ</t>
    <rPh sb="0" eb="2">
      <t>ヒライタ</t>
    </rPh>
    <phoneticPr fontId="1"/>
  </si>
  <si>
    <t>平板連結材</t>
    <rPh sb="0" eb="2">
      <t>ヒライタ</t>
    </rPh>
    <rPh sb="2" eb="4">
      <t>レンケツ</t>
    </rPh>
    <rPh sb="4" eb="5">
      <t>ザイ</t>
    </rPh>
    <phoneticPr fontId="1"/>
  </si>
  <si>
    <t>ドリルネジ4×40</t>
    <phoneticPr fontId="1"/>
  </si>
  <si>
    <t>ピッチ数</t>
    <rPh sb="3" eb="4">
      <t>スウ</t>
    </rPh>
    <phoneticPr fontId="1"/>
  </si>
  <si>
    <t>L2000</t>
    <phoneticPr fontId="1"/>
  </si>
  <si>
    <t>L1000</t>
    <phoneticPr fontId="1"/>
  </si>
  <si>
    <t>　上部計算の残り</t>
    <rPh sb="1" eb="3">
      <t>ジョウブ</t>
    </rPh>
    <rPh sb="3" eb="5">
      <t>ケイサン</t>
    </rPh>
    <rPh sb="6" eb="7">
      <t>ノコ</t>
    </rPh>
    <phoneticPr fontId="1"/>
  </si>
  <si>
    <t>残り1001以上の場合はL2000をカット</t>
    <rPh sb="0" eb="1">
      <t>ノコ</t>
    </rPh>
    <rPh sb="6" eb="8">
      <t>イジョウ</t>
    </rPh>
    <rPh sb="9" eb="11">
      <t>バアイ</t>
    </rPh>
    <phoneticPr fontId="1"/>
  </si>
  <si>
    <t>残り1000以下の場合はL1000をカット</t>
    <rPh sb="0" eb="1">
      <t>ノコ</t>
    </rPh>
    <rPh sb="6" eb="8">
      <t>イカ</t>
    </rPh>
    <rPh sb="9" eb="11">
      <t>バアイ</t>
    </rPh>
    <phoneticPr fontId="1"/>
  </si>
  <si>
    <t>ネジの総数（高さ1200迄は柱のピッチ2000なので４個・それ以上はピッチが1000で6個）</t>
    <rPh sb="3" eb="4">
      <t>ソウ</t>
    </rPh>
    <rPh sb="4" eb="5">
      <t>カズ</t>
    </rPh>
    <rPh sb="6" eb="7">
      <t>タカ</t>
    </rPh>
    <rPh sb="12" eb="13">
      <t>マデ</t>
    </rPh>
    <rPh sb="14" eb="15">
      <t>ハシラ</t>
    </rPh>
    <rPh sb="27" eb="28">
      <t>コ</t>
    </rPh>
    <rPh sb="31" eb="33">
      <t>イジョウ</t>
    </rPh>
    <rPh sb="44" eb="45">
      <t>コ</t>
    </rPh>
    <phoneticPr fontId="1"/>
  </si>
  <si>
    <t>平板必要枚数（ピッチ数×1スパン数）下記残りL2000加算済み</t>
    <rPh sb="0" eb="2">
      <t>ヒライタ</t>
    </rPh>
    <rPh sb="2" eb="4">
      <t>ヒツヨウ</t>
    </rPh>
    <rPh sb="4" eb="6">
      <t>マイスウ</t>
    </rPh>
    <rPh sb="10" eb="11">
      <t>スウ</t>
    </rPh>
    <rPh sb="16" eb="17">
      <t>スウ</t>
    </rPh>
    <rPh sb="18" eb="20">
      <t>カキ</t>
    </rPh>
    <rPh sb="20" eb="21">
      <t>ノコ</t>
    </rPh>
    <rPh sb="27" eb="29">
      <t>カサン</t>
    </rPh>
    <rPh sb="29" eb="30">
      <t>ズ</t>
    </rPh>
    <phoneticPr fontId="1"/>
  </si>
  <si>
    <t>金額</t>
    <rPh sb="0" eb="2">
      <t>キンガク</t>
    </rPh>
    <phoneticPr fontId="1"/>
  </si>
  <si>
    <t>ドリルネジ</t>
    <phoneticPr fontId="1"/>
  </si>
  <si>
    <t>数量</t>
    <rPh sb="0" eb="2">
      <t>スウリョウ</t>
    </rPh>
    <phoneticPr fontId="1"/>
  </si>
  <si>
    <t>連結材</t>
    <rPh sb="0" eb="2">
      <t>レンケツ</t>
    </rPh>
    <rPh sb="2" eb="3">
      <t>ザイ</t>
    </rPh>
    <phoneticPr fontId="1"/>
  </si>
  <si>
    <t>（ピッチ数-1）×1スパン枚数</t>
    <rPh sb="4" eb="5">
      <t>スウ</t>
    </rPh>
    <rPh sb="13" eb="15">
      <t>マイスウ</t>
    </rPh>
    <phoneticPr fontId="1"/>
  </si>
  <si>
    <t>合計金額</t>
    <rPh sb="0" eb="2">
      <t>ゴウケイ</t>
    </rPh>
    <rPh sb="2" eb="4">
      <t>キンガク</t>
    </rPh>
    <phoneticPr fontId="1"/>
  </si>
  <si>
    <t>計算後の下部隙間</t>
    <rPh sb="0" eb="2">
      <t>ケイサン</t>
    </rPh>
    <rPh sb="2" eb="3">
      <t>ゴ</t>
    </rPh>
    <rPh sb="4" eb="6">
      <t>カブ</t>
    </rPh>
    <rPh sb="6" eb="8">
      <t>スキマ</t>
    </rPh>
    <phoneticPr fontId="1"/>
  </si>
  <si>
    <t>90角の場合</t>
    <rPh sb="2" eb="3">
      <t>カク</t>
    </rPh>
    <rPh sb="4" eb="6">
      <t>バアイ</t>
    </rPh>
    <phoneticPr fontId="1"/>
  </si>
  <si>
    <t>柱材の場合</t>
    <rPh sb="0" eb="1">
      <t>ハシラ</t>
    </rPh>
    <rPh sb="1" eb="2">
      <t>ザイ</t>
    </rPh>
    <rPh sb="3" eb="5">
      <t>バアイ</t>
    </rPh>
    <phoneticPr fontId="1"/>
  </si>
  <si>
    <t>30×40</t>
    <phoneticPr fontId="1"/>
  </si>
  <si>
    <t>鉄心</t>
    <rPh sb="0" eb="2">
      <t>テッシン</t>
    </rPh>
    <phoneticPr fontId="1"/>
  </si>
  <si>
    <t>ドリルネジ4×50</t>
    <phoneticPr fontId="1"/>
  </si>
  <si>
    <t>柱材キャップ</t>
    <rPh sb="0" eb="1">
      <t>ハシラ</t>
    </rPh>
    <rPh sb="1" eb="2">
      <t>ザイ</t>
    </rPh>
    <phoneticPr fontId="1"/>
  </si>
  <si>
    <t>ネジの総数（柱の本数×（1スパンの平板枚数×2））</t>
    <rPh sb="3" eb="4">
      <t>ソウ</t>
    </rPh>
    <rPh sb="4" eb="5">
      <t>カズ</t>
    </rPh>
    <rPh sb="6" eb="7">
      <t>ハシラ</t>
    </rPh>
    <rPh sb="8" eb="10">
      <t>ホンスウ</t>
    </rPh>
    <rPh sb="17" eb="19">
      <t>ヒライタ</t>
    </rPh>
    <rPh sb="19" eb="21">
      <t>マイスウ</t>
    </rPh>
    <phoneticPr fontId="1"/>
  </si>
  <si>
    <t>柱の本数（(幅＋隙間）/（40+隙間））</t>
    <rPh sb="0" eb="1">
      <t>ハシラ</t>
    </rPh>
    <rPh sb="2" eb="4">
      <t>ホンスウ</t>
    </rPh>
    <rPh sb="6" eb="7">
      <t>ハバ</t>
    </rPh>
    <rPh sb="8" eb="10">
      <t>スキマ</t>
    </rPh>
    <rPh sb="16" eb="18">
      <t>スキマ</t>
    </rPh>
    <phoneticPr fontId="1"/>
  </si>
  <si>
    <t>L1200</t>
    <phoneticPr fontId="1"/>
  </si>
  <si>
    <t>残り801以上の場合はL1200をカット</t>
    <rPh sb="0" eb="1">
      <t>ノコ</t>
    </rPh>
    <rPh sb="5" eb="7">
      <t>イジョウ</t>
    </rPh>
    <rPh sb="8" eb="10">
      <t>バアイ</t>
    </rPh>
    <phoneticPr fontId="1"/>
  </si>
  <si>
    <t>L800</t>
    <phoneticPr fontId="1"/>
  </si>
  <si>
    <t>必要な長さ÷800</t>
    <rPh sb="0" eb="2">
      <t>ヒツヨウ</t>
    </rPh>
    <rPh sb="3" eb="4">
      <t>ナガ</t>
    </rPh>
    <phoneticPr fontId="1"/>
  </si>
  <si>
    <t>90角</t>
    <rPh sb="2" eb="3">
      <t>カク</t>
    </rPh>
    <phoneticPr fontId="1"/>
  </si>
  <si>
    <t>残り</t>
    <rPh sb="0" eb="1">
      <t>ノコ</t>
    </rPh>
    <phoneticPr fontId="1"/>
  </si>
  <si>
    <t>横桟に必要な長さ</t>
    <rPh sb="0" eb="2">
      <t>ヨコザン</t>
    </rPh>
    <rPh sb="3" eb="5">
      <t>ヒツヨウ</t>
    </rPh>
    <rPh sb="6" eb="7">
      <t>ナガ</t>
    </rPh>
    <phoneticPr fontId="1"/>
  </si>
  <si>
    <t>横桟は作業性を考えて1スパンL1200にて計算</t>
    <rPh sb="0" eb="2">
      <t>ヨコザン</t>
    </rPh>
    <rPh sb="3" eb="6">
      <t>サギョウセイ</t>
    </rPh>
    <rPh sb="7" eb="8">
      <t>カンガ</t>
    </rPh>
    <rPh sb="21" eb="23">
      <t>ケイサン</t>
    </rPh>
    <phoneticPr fontId="1"/>
  </si>
  <si>
    <t>L1200の本数</t>
    <rPh sb="6" eb="8">
      <t>ホンスウ</t>
    </rPh>
    <phoneticPr fontId="1"/>
  </si>
  <si>
    <t>必要本数</t>
    <rPh sb="0" eb="2">
      <t>ヒツヨウ</t>
    </rPh>
    <rPh sb="2" eb="4">
      <t>ホンスウ</t>
    </rPh>
    <phoneticPr fontId="1"/>
  </si>
  <si>
    <t>ピッチ数-1</t>
    <rPh sb="3" eb="4">
      <t>スウ</t>
    </rPh>
    <phoneticPr fontId="1"/>
  </si>
  <si>
    <t>縦柱材*2</t>
    <rPh sb="0" eb="1">
      <t>タテ</t>
    </rPh>
    <rPh sb="1" eb="2">
      <t>ハシラ</t>
    </rPh>
    <rPh sb="2" eb="3">
      <t>ザイ</t>
    </rPh>
    <phoneticPr fontId="1"/>
  </si>
  <si>
    <t>柱材連結材(2個入り）</t>
    <rPh sb="0" eb="1">
      <t>ハシラ</t>
    </rPh>
    <rPh sb="1" eb="2">
      <t>ザイ</t>
    </rPh>
    <rPh sb="2" eb="4">
      <t>レンケツ</t>
    </rPh>
    <rPh sb="4" eb="5">
      <t>ザイ</t>
    </rPh>
    <rPh sb="7" eb="8">
      <t>コ</t>
    </rPh>
    <rPh sb="8" eb="9">
      <t>イ</t>
    </rPh>
    <phoneticPr fontId="1"/>
  </si>
  <si>
    <t>30×40連結材2個入</t>
    <rPh sb="5" eb="7">
      <t>レンケツ</t>
    </rPh>
    <rPh sb="7" eb="8">
      <t>ザイ</t>
    </rPh>
    <rPh sb="9" eb="10">
      <t>コ</t>
    </rPh>
    <rPh sb="10" eb="11">
      <t>イ</t>
    </rPh>
    <phoneticPr fontId="1"/>
  </si>
  <si>
    <t>柱の本数</t>
    <rPh sb="0" eb="1">
      <t>ハシラ</t>
    </rPh>
    <rPh sb="2" eb="4">
      <t>ホンスウ</t>
    </rPh>
    <phoneticPr fontId="1"/>
  </si>
  <si>
    <t>最終の幅</t>
    <rPh sb="0" eb="2">
      <t>サイシュウ</t>
    </rPh>
    <rPh sb="3" eb="4">
      <t>ハバ</t>
    </rPh>
    <phoneticPr fontId="1"/>
  </si>
  <si>
    <t>柱のp本数</t>
    <rPh sb="0" eb="1">
      <t>ハシラ</t>
    </rPh>
    <rPh sb="3" eb="5">
      <t>ホンスウ</t>
    </rPh>
    <phoneticPr fontId="1"/>
  </si>
  <si>
    <t>L1000</t>
    <phoneticPr fontId="1"/>
  </si>
  <si>
    <t>4×40</t>
    <phoneticPr fontId="1"/>
  </si>
  <si>
    <t>L2825</t>
    <phoneticPr fontId="1"/>
  </si>
  <si>
    <t>L1883</t>
    <phoneticPr fontId="1"/>
  </si>
  <si>
    <t>L2000</t>
    <phoneticPr fontId="1"/>
  </si>
  <si>
    <t>L2400</t>
    <phoneticPr fontId="1"/>
  </si>
  <si>
    <t>L1600</t>
    <phoneticPr fontId="1"/>
  </si>
  <si>
    <t>L2000</t>
    <phoneticPr fontId="1"/>
  </si>
  <si>
    <t>L1000</t>
    <phoneticPr fontId="1"/>
  </si>
  <si>
    <t>L1200</t>
    <phoneticPr fontId="1"/>
  </si>
  <si>
    <t>L1000</t>
    <phoneticPr fontId="1"/>
  </si>
  <si>
    <t>4×50</t>
    <phoneticPr fontId="1"/>
  </si>
  <si>
    <t>L2825</t>
    <phoneticPr fontId="1"/>
  </si>
  <si>
    <t>L2400</t>
    <phoneticPr fontId="1"/>
  </si>
  <si>
    <t>L1883</t>
    <phoneticPr fontId="1"/>
  </si>
  <si>
    <t>L1600</t>
    <phoneticPr fontId="1"/>
  </si>
  <si>
    <t>L1200</t>
    <phoneticPr fontId="1"/>
  </si>
  <si>
    <t>L1200</t>
    <phoneticPr fontId="1"/>
  </si>
  <si>
    <t>L800</t>
    <phoneticPr fontId="1"/>
  </si>
  <si>
    <t>L1200</t>
    <phoneticPr fontId="1"/>
  </si>
  <si>
    <t>材料</t>
    <rPh sb="0" eb="2">
      <t>ザイリョウ</t>
    </rPh>
    <phoneticPr fontId="1"/>
  </si>
  <si>
    <t>数量</t>
  </si>
  <si>
    <t>単価</t>
  </si>
  <si>
    <t>金額</t>
  </si>
  <si>
    <t>柱材用　鉄心</t>
    <rPh sb="0" eb="1">
      <t>ハシラ</t>
    </rPh>
    <rPh sb="1" eb="3">
      <t>ザイヨウ</t>
    </rPh>
    <rPh sb="4" eb="6">
      <t>テッシン</t>
    </rPh>
    <phoneticPr fontId="1"/>
  </si>
  <si>
    <t>90角柱　90×90×</t>
    <rPh sb="2" eb="3">
      <t>カク</t>
    </rPh>
    <rPh sb="3" eb="4">
      <t>チュウ</t>
    </rPh>
    <phoneticPr fontId="1"/>
  </si>
  <si>
    <t>平板　100×15×</t>
    <rPh sb="0" eb="2">
      <t>ヒライタ</t>
    </rPh>
    <phoneticPr fontId="1"/>
  </si>
  <si>
    <t>平板　キャップ</t>
    <rPh sb="0" eb="2">
      <t>ヒライタ</t>
    </rPh>
    <phoneticPr fontId="1"/>
  </si>
  <si>
    <t>平板　連結材</t>
    <rPh sb="0" eb="2">
      <t>ヒライタ</t>
    </rPh>
    <rPh sb="3" eb="5">
      <t>レンケツ</t>
    </rPh>
    <rPh sb="5" eb="6">
      <t>ザイ</t>
    </rPh>
    <phoneticPr fontId="1"/>
  </si>
  <si>
    <t>75角柱　75×75×</t>
    <rPh sb="2" eb="3">
      <t>カク</t>
    </rPh>
    <rPh sb="3" eb="4">
      <t>チュウ</t>
    </rPh>
    <phoneticPr fontId="1"/>
  </si>
  <si>
    <t>柱材　30×40×</t>
    <rPh sb="0" eb="1">
      <t>ハシラ</t>
    </rPh>
    <rPh sb="1" eb="2">
      <t>ザイ</t>
    </rPh>
    <phoneticPr fontId="1"/>
  </si>
  <si>
    <t>柱材　キャップ</t>
    <rPh sb="0" eb="1">
      <t>ハシラ</t>
    </rPh>
    <rPh sb="1" eb="2">
      <t>ザイ</t>
    </rPh>
    <phoneticPr fontId="1"/>
  </si>
  <si>
    <t>（横）柱材30×40×</t>
    <rPh sb="1" eb="2">
      <t>ヨコ</t>
    </rPh>
    <rPh sb="3" eb="4">
      <t>ハシラ</t>
    </rPh>
    <rPh sb="4" eb="5">
      <t>ザイ</t>
    </rPh>
    <phoneticPr fontId="1"/>
  </si>
  <si>
    <t>(縦)柱材30×40×</t>
    <rPh sb="1" eb="2">
      <t>タテ</t>
    </rPh>
    <rPh sb="3" eb="4">
      <t>ハシラ</t>
    </rPh>
    <rPh sb="4" eb="5">
      <t>ザイ</t>
    </rPh>
    <phoneticPr fontId="1"/>
  </si>
  <si>
    <t>（2325ｍｍ迄入力可能）</t>
    <rPh sb="7" eb="8">
      <t>マデ</t>
    </rPh>
    <rPh sb="8" eb="10">
      <t>ニュウリョク</t>
    </rPh>
    <rPh sb="10" eb="12">
      <t>カノウ</t>
    </rPh>
    <phoneticPr fontId="1"/>
  </si>
  <si>
    <t>●90角柱使用の場合●</t>
    <rPh sb="3" eb="4">
      <t>カク</t>
    </rPh>
    <rPh sb="4" eb="5">
      <t>チュウ</t>
    </rPh>
    <rPh sb="5" eb="7">
      <t>シヨウ</t>
    </rPh>
    <rPh sb="8" eb="10">
      <t>バアイ</t>
    </rPh>
    <phoneticPr fontId="1"/>
  </si>
  <si>
    <t>●75角柱使用の場合●</t>
    <rPh sb="3" eb="4">
      <t>カク</t>
    </rPh>
    <rPh sb="4" eb="5">
      <t>チュウ</t>
    </rPh>
    <rPh sb="5" eb="7">
      <t>シヨウ</t>
    </rPh>
    <rPh sb="8" eb="10">
      <t>バアイ</t>
    </rPh>
    <phoneticPr fontId="1"/>
  </si>
  <si>
    <t>合計金額≫≫≫</t>
    <rPh sb="0" eb="2">
      <t>ゴウケイ</t>
    </rPh>
    <rPh sb="2" eb="4">
      <t>キンガク</t>
    </rPh>
    <phoneticPr fontId="1"/>
  </si>
  <si>
    <t>●柱材30×40使用の場合●</t>
    <rPh sb="1" eb="2">
      <t>ハシラ</t>
    </rPh>
    <rPh sb="2" eb="3">
      <t>ザイ</t>
    </rPh>
    <rPh sb="8" eb="10">
      <t>シヨウ</t>
    </rPh>
    <rPh sb="11" eb="13">
      <t>バアイ</t>
    </rPh>
    <phoneticPr fontId="1"/>
  </si>
  <si>
    <t>（2000ｍｍ迄入力可能）</t>
    <rPh sb="7" eb="8">
      <t>マデ</t>
    </rPh>
    <rPh sb="8" eb="10">
      <t>ニュウリョク</t>
    </rPh>
    <rPh sb="10" eb="12">
      <t>カノウ</t>
    </rPh>
    <phoneticPr fontId="1"/>
  </si>
  <si>
    <t>●簡単な概算見積りができます。</t>
    <rPh sb="1" eb="3">
      <t>カンタン</t>
    </rPh>
    <rPh sb="4" eb="6">
      <t>ガイサン</t>
    </rPh>
    <rPh sb="6" eb="8">
      <t>ミツモリ</t>
    </rPh>
    <phoneticPr fontId="1"/>
  </si>
  <si>
    <t>下部隙間</t>
    <rPh sb="0" eb="2">
      <t>カブ</t>
    </rPh>
    <rPh sb="2" eb="4">
      <t>スキマ</t>
    </rPh>
    <phoneticPr fontId="1"/>
  </si>
  <si>
    <t>×</t>
    <phoneticPr fontId="1"/>
  </si>
  <si>
    <t>×</t>
    <phoneticPr fontId="1"/>
  </si>
  <si>
    <t>＝</t>
    <phoneticPr fontId="1"/>
  </si>
  <si>
    <t>　平板</t>
    <rPh sb="1" eb="3">
      <t>ヒライタ</t>
    </rPh>
    <phoneticPr fontId="1"/>
  </si>
  <si>
    <t>　隙間</t>
    <rPh sb="1" eb="3">
      <t>スキマ</t>
    </rPh>
    <phoneticPr fontId="1"/>
  </si>
  <si>
    <t>枚</t>
    <rPh sb="0" eb="1">
      <t>マイ</t>
    </rPh>
    <phoneticPr fontId="1"/>
  </si>
  <si>
    <t>箇所</t>
    <rPh sb="0" eb="2">
      <t>カショ</t>
    </rPh>
    <phoneticPr fontId="1"/>
  </si>
  <si>
    <t>●平板(1スパン）</t>
    <rPh sb="1" eb="3">
      <t>ヒライタ</t>
    </rPh>
    <phoneticPr fontId="1"/>
  </si>
  <si>
    <t>高さ　</t>
    <rPh sb="0" eb="1">
      <t>タカ</t>
    </rPh>
    <phoneticPr fontId="1"/>
  </si>
  <si>
    <r>
      <rPr>
        <b/>
        <sz val="11"/>
        <color rgb="FF002060"/>
        <rFont val="AR P丸ゴシック体M"/>
        <family val="3"/>
        <charset val="128"/>
      </rPr>
      <t>≫≫≫　　詳しくは、</t>
    </r>
    <r>
      <rPr>
        <b/>
        <sz val="16"/>
        <color rgb="FFFF0000"/>
        <rFont val="AR P丸ゴシック体M"/>
        <family val="3"/>
        <charset val="128"/>
      </rPr>
      <t>無料簡単見積</t>
    </r>
    <r>
      <rPr>
        <b/>
        <sz val="11"/>
        <color rgb="FF002060"/>
        <rFont val="AR P丸ゴシック体M"/>
        <family val="3"/>
        <charset val="128"/>
      </rPr>
      <t>からお問い合わせください。　≪≪≪</t>
    </r>
    <rPh sb="5" eb="6">
      <t>クワ</t>
    </rPh>
    <rPh sb="10" eb="12">
      <t>ムリョウ</t>
    </rPh>
    <rPh sb="12" eb="14">
      <t>カンタン</t>
    </rPh>
    <rPh sb="14" eb="16">
      <t>ミツ</t>
    </rPh>
    <rPh sb="19" eb="20">
      <t>ト</t>
    </rPh>
    <rPh sb="21" eb="22">
      <t>ア</t>
    </rPh>
    <phoneticPr fontId="1"/>
  </si>
  <si>
    <r>
      <t>※</t>
    </r>
    <r>
      <rPr>
        <b/>
        <sz val="11"/>
        <color theme="1"/>
        <rFont val="AR P丸ゴシック体M"/>
        <family val="3"/>
        <charset val="128"/>
      </rPr>
      <t>□</t>
    </r>
    <r>
      <rPr>
        <sz val="11"/>
        <color theme="1"/>
        <rFont val="AR P丸ゴシック体M"/>
        <family val="3"/>
        <charset val="128"/>
      </rPr>
      <t>部分に必要な長さを数値で入力してください。　　幅の1ピッチは平板L2000で計算しています。</t>
    </r>
    <rPh sb="2" eb="4">
      <t>ブブン</t>
    </rPh>
    <rPh sb="5" eb="7">
      <t>ヒツヨウ</t>
    </rPh>
    <rPh sb="8" eb="9">
      <t>ナガ</t>
    </rPh>
    <rPh sb="11" eb="13">
      <t>スウチ</t>
    </rPh>
    <rPh sb="14" eb="16">
      <t>ニュウリョク</t>
    </rPh>
    <rPh sb="25" eb="26">
      <t>ハバ</t>
    </rPh>
    <rPh sb="32" eb="34">
      <t>ヒライタ</t>
    </rPh>
    <rPh sb="40" eb="42">
      <t>ケイサン</t>
    </rPh>
    <phoneticPr fontId="1"/>
  </si>
  <si>
    <r>
      <t>※</t>
    </r>
    <r>
      <rPr>
        <b/>
        <sz val="11"/>
        <color theme="1"/>
        <rFont val="AR P丸ゴシック体M"/>
        <family val="3"/>
        <charset val="128"/>
      </rPr>
      <t>□</t>
    </r>
    <r>
      <rPr>
        <sz val="11"/>
        <color theme="1"/>
        <rFont val="AR P丸ゴシック体M"/>
        <family val="3"/>
        <charset val="128"/>
      </rPr>
      <t>部分に必要な長さを数値で入力してください。　</t>
    </r>
    <rPh sb="2" eb="4">
      <t>ブブン</t>
    </rPh>
    <rPh sb="5" eb="7">
      <t>ヒツヨウ</t>
    </rPh>
    <rPh sb="8" eb="9">
      <t>ナガ</t>
    </rPh>
    <rPh sb="11" eb="13">
      <t>スウチ</t>
    </rPh>
    <rPh sb="14" eb="16">
      <t>ニュウリョク</t>
    </rPh>
    <phoneticPr fontId="1"/>
  </si>
  <si>
    <r>
      <t>※</t>
    </r>
    <r>
      <rPr>
        <b/>
        <sz val="11"/>
        <color theme="1"/>
        <rFont val="AR P丸ゴシック体M"/>
        <family val="3"/>
        <charset val="128"/>
      </rPr>
      <t>□</t>
    </r>
    <r>
      <rPr>
        <sz val="11"/>
        <color theme="1"/>
        <rFont val="AR P丸ゴシック体M"/>
        <family val="3"/>
        <charset val="128"/>
      </rPr>
      <t>部分に必要な長さを数値で入力してください。  横桟は1スパンL1200で計算しています。</t>
    </r>
    <rPh sb="2" eb="4">
      <t>ブブン</t>
    </rPh>
    <rPh sb="5" eb="7">
      <t>ヒツヨウ</t>
    </rPh>
    <rPh sb="8" eb="9">
      <t>ナガ</t>
    </rPh>
    <rPh sb="11" eb="13">
      <t>スウチ</t>
    </rPh>
    <rPh sb="14" eb="16">
      <t>ニュウリョク</t>
    </rPh>
    <rPh sb="25" eb="27">
      <t>ヨコザン</t>
    </rPh>
    <rPh sb="38" eb="40">
      <t>ケイサン</t>
    </rPh>
    <phoneticPr fontId="1"/>
  </si>
  <si>
    <t>L1410</t>
    <phoneticPr fontId="1"/>
  </si>
  <si>
    <t>L1120</t>
    <phoneticPr fontId="1"/>
  </si>
  <si>
    <t>L1410</t>
    <phoneticPr fontId="1"/>
  </si>
  <si>
    <t>L1120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</si>
</sst>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_);[Red]\(&quot;¥&quot;#,##0\)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b/>
      <sz val="11"/>
      <color theme="1"/>
      <name val="AR P丸ゴシック体M"/>
      <family val="3"/>
      <charset val="128"/>
    </font>
    <font>
      <sz val="11"/>
      <color theme="1"/>
      <name val="AR P丸ゴシック体M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AR P丸ゴシック体M"/>
      <family val="3"/>
      <charset val="128"/>
    </font>
    <font>
      <sz val="9"/>
      <color theme="1"/>
      <name val="AR P丸ゴシック体M"/>
      <family val="3"/>
      <charset val="128"/>
    </font>
    <font>
      <b/>
      <sz val="9"/>
      <color theme="1"/>
      <name val="AR P丸ゴシック体M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9"/>
      <color rgb="FFFF0000"/>
      <name val="AR P丸ゴシック体M"/>
      <family val="3"/>
      <charset val="128"/>
    </font>
    <font>
      <sz val="9"/>
      <color rgb="FF002060"/>
      <name val="AR P丸ゴシック体M"/>
      <family val="3"/>
      <charset val="128"/>
    </font>
    <font>
      <sz val="9"/>
      <color rgb="FFFF0000"/>
      <name val="AR P丸ゴシック体M"/>
      <family val="3"/>
      <charset val="128"/>
    </font>
    <font>
      <sz val="9"/>
      <name val="AR P丸ゴシック体M"/>
      <family val="3"/>
      <charset val="128"/>
    </font>
    <font>
      <b/>
      <sz val="9"/>
      <color rgb="FFFFFF00"/>
      <name val="AR P丸ゴシック体M"/>
      <family val="3"/>
      <charset val="128"/>
    </font>
    <font>
      <b/>
      <sz val="9"/>
      <color theme="7" tint="0.79998168889431442"/>
      <name val="AR P丸ゴシック体M"/>
      <family val="3"/>
      <charset val="128"/>
    </font>
    <font>
      <sz val="9"/>
      <color theme="0"/>
      <name val="AR P丸ゴシック体M"/>
      <family val="3"/>
      <charset val="128"/>
    </font>
    <font>
      <sz val="9"/>
      <color theme="0"/>
      <name val="ＭＳ Ｐゴシック"/>
      <family val="2"/>
      <charset val="128"/>
      <scheme val="minor"/>
    </font>
    <font>
      <b/>
      <sz val="9"/>
      <color theme="1"/>
      <name val="ＭＳ Ｐゴシック"/>
      <family val="2"/>
      <charset val="128"/>
      <scheme val="minor"/>
    </font>
    <font>
      <sz val="8"/>
      <color theme="1"/>
      <name val="AR P丸ゴシック体M"/>
      <family val="3"/>
      <charset val="128"/>
    </font>
    <font>
      <b/>
      <sz val="18"/>
      <color theme="1"/>
      <name val="AR P丸ゴシック体M"/>
      <family val="3"/>
      <charset val="128"/>
    </font>
    <font>
      <b/>
      <sz val="10"/>
      <color theme="1"/>
      <name val="AR P丸ゴシック体M"/>
      <family val="3"/>
      <charset val="128"/>
    </font>
    <font>
      <b/>
      <sz val="9"/>
      <color rgb="FFFF0000"/>
      <name val="ＭＳ Ｐゴシック"/>
      <family val="3"/>
      <charset val="128"/>
      <scheme val="minor"/>
    </font>
    <font>
      <b/>
      <sz val="11"/>
      <color rgb="FFFF0000"/>
      <name val="AR P丸ゴシック体M"/>
      <family val="3"/>
      <charset val="128"/>
    </font>
    <font>
      <b/>
      <sz val="11"/>
      <color rgb="FF002060"/>
      <name val="AR P丸ゴシック体M"/>
      <family val="3"/>
      <charset val="128"/>
    </font>
    <font>
      <b/>
      <sz val="16"/>
      <color rgb="FFFF0000"/>
      <name val="AR P丸ゴシック体M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</cellStyleXfs>
  <cellXfs count="187">
    <xf numFmtId="0" fontId="0" fillId="0" borderId="0" xfId="0">
      <alignment vertical="center"/>
    </xf>
    <xf numFmtId="0" fontId="4" fillId="0" borderId="0" xfId="2" applyFont="1"/>
    <xf numFmtId="0" fontId="5" fillId="0" borderId="0" xfId="2" applyFont="1"/>
    <xf numFmtId="0" fontId="4" fillId="0" borderId="0" xfId="2" applyFont="1" applyAlignment="1">
      <alignment horizontal="right"/>
    </xf>
    <xf numFmtId="0" fontId="5" fillId="0" borderId="0" xfId="2" applyFont="1" applyBorder="1"/>
    <xf numFmtId="0" fontId="5" fillId="0" borderId="3" xfId="2" applyFont="1" applyBorder="1"/>
    <xf numFmtId="0" fontId="5" fillId="0" borderId="4" xfId="2" applyFont="1" applyBorder="1"/>
    <xf numFmtId="0" fontId="7" fillId="0" borderId="0" xfId="2" applyFont="1"/>
    <xf numFmtId="0" fontId="7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4" fillId="0" borderId="0" xfId="2" applyFont="1" applyAlignment="1">
      <alignment horizontal="right" vertical="center"/>
    </xf>
    <xf numFmtId="0" fontId="4" fillId="0" borderId="0" xfId="2" applyFont="1" applyAlignment="1">
      <alignment vertical="center"/>
    </xf>
    <xf numFmtId="0" fontId="8" fillId="2" borderId="15" xfId="0" applyFont="1" applyFill="1" applyBorder="1">
      <alignment vertical="center"/>
    </xf>
    <xf numFmtId="0" fontId="8" fillId="2" borderId="7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3" borderId="15" xfId="0" applyFont="1" applyFill="1" applyBorder="1">
      <alignment vertical="center"/>
    </xf>
    <xf numFmtId="0" fontId="8" fillId="3" borderId="7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34" xfId="0" applyFont="1" applyFill="1" applyBorder="1" applyAlignment="1">
      <alignment vertical="center" wrapText="1"/>
    </xf>
    <xf numFmtId="0" fontId="8" fillId="3" borderId="20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6" borderId="15" xfId="0" applyFont="1" applyFill="1" applyBorder="1">
      <alignment vertical="center"/>
    </xf>
    <xf numFmtId="0" fontId="8" fillId="6" borderId="2" xfId="0" applyFont="1" applyFill="1" applyBorder="1" applyAlignment="1">
      <alignment vertical="center" wrapText="1"/>
    </xf>
    <xf numFmtId="0" fontId="8" fillId="6" borderId="8" xfId="0" applyFont="1" applyFill="1" applyBorder="1" applyAlignment="1">
      <alignment vertical="center" wrapText="1"/>
    </xf>
    <xf numFmtId="0" fontId="9" fillId="6" borderId="27" xfId="0" applyFont="1" applyFill="1" applyBorder="1" applyAlignment="1">
      <alignment vertical="center" wrapText="1"/>
    </xf>
    <xf numFmtId="0" fontId="9" fillId="6" borderId="20" xfId="0" applyFont="1" applyFill="1" applyBorder="1" applyAlignment="1">
      <alignment vertical="center" wrapText="1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1" fillId="5" borderId="14" xfId="0" applyFont="1" applyFill="1" applyBorder="1">
      <alignment vertical="center"/>
    </xf>
    <xf numFmtId="0" fontId="8" fillId="2" borderId="16" xfId="0" applyFont="1" applyFill="1" applyBorder="1">
      <alignment vertical="center"/>
    </xf>
    <xf numFmtId="0" fontId="8" fillId="2" borderId="1" xfId="0" applyFont="1" applyFill="1" applyBorder="1">
      <alignment vertical="center"/>
    </xf>
    <xf numFmtId="0" fontId="8" fillId="2" borderId="18" xfId="0" applyFont="1" applyFill="1" applyBorder="1">
      <alignment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8" fillId="2" borderId="2" xfId="0" applyFont="1" applyFill="1" applyBorder="1">
      <alignment vertical="center"/>
    </xf>
    <xf numFmtId="0" fontId="8" fillId="2" borderId="7" xfId="0" applyFont="1" applyFill="1" applyBorder="1">
      <alignment vertical="center"/>
    </xf>
    <xf numFmtId="0" fontId="11" fillId="2" borderId="7" xfId="0" applyFont="1" applyFill="1" applyBorder="1">
      <alignment vertical="center"/>
    </xf>
    <xf numFmtId="0" fontId="12" fillId="2" borderId="7" xfId="0" applyFont="1" applyFill="1" applyBorder="1">
      <alignment vertical="center"/>
    </xf>
    <xf numFmtId="0" fontId="8" fillId="2" borderId="0" xfId="0" applyFont="1" applyFill="1">
      <alignment vertical="center"/>
    </xf>
    <xf numFmtId="0" fontId="9" fillId="2" borderId="22" xfId="0" applyFont="1" applyFill="1" applyBorder="1">
      <alignment vertical="center"/>
    </xf>
    <xf numFmtId="0" fontId="9" fillId="2" borderId="21" xfId="0" applyFont="1" applyFill="1" applyBorder="1" applyAlignment="1">
      <alignment horizontal="left" vertical="center"/>
    </xf>
    <xf numFmtId="38" fontId="8" fillId="2" borderId="7" xfId="1" applyFont="1" applyFill="1" applyBorder="1">
      <alignment vertical="center"/>
    </xf>
    <xf numFmtId="38" fontId="8" fillId="2" borderId="13" xfId="1" applyFont="1" applyFill="1" applyBorder="1">
      <alignment vertical="center"/>
    </xf>
    <xf numFmtId="0" fontId="8" fillId="2" borderId="5" xfId="0" applyFont="1" applyFill="1" applyBorder="1">
      <alignment vertical="center"/>
    </xf>
    <xf numFmtId="0" fontId="9" fillId="2" borderId="23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horizontal="left" vertical="center" wrapText="1"/>
    </xf>
    <xf numFmtId="38" fontId="8" fillId="2" borderId="2" xfId="1" applyFont="1" applyFill="1" applyBorder="1">
      <alignment vertical="center"/>
    </xf>
    <xf numFmtId="38" fontId="8" fillId="2" borderId="10" xfId="1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8" fillId="2" borderId="8" xfId="0" applyFont="1" applyFill="1" applyBorder="1">
      <alignment vertical="center"/>
    </xf>
    <xf numFmtId="0" fontId="9" fillId="2" borderId="23" xfId="0" applyFont="1" applyFill="1" applyBorder="1">
      <alignment vertical="center"/>
    </xf>
    <xf numFmtId="0" fontId="9" fillId="2" borderId="9" xfId="0" applyFont="1" applyFill="1" applyBorder="1" applyAlignment="1">
      <alignment horizontal="left" vertical="center"/>
    </xf>
    <xf numFmtId="0" fontId="9" fillId="2" borderId="9" xfId="0" applyFont="1" applyFill="1" applyBorder="1">
      <alignment vertical="center"/>
    </xf>
    <xf numFmtId="0" fontId="13" fillId="2" borderId="2" xfId="0" applyFont="1" applyFill="1" applyBorder="1">
      <alignment vertical="center"/>
    </xf>
    <xf numFmtId="0" fontId="9" fillId="2" borderId="27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38" fontId="8" fillId="2" borderId="11" xfId="1" applyFont="1" applyFill="1" applyBorder="1">
      <alignment vertical="center"/>
    </xf>
    <xf numFmtId="38" fontId="8" fillId="2" borderId="12" xfId="1" applyFont="1" applyFill="1" applyBorder="1">
      <alignment vertical="center"/>
    </xf>
    <xf numFmtId="0" fontId="8" fillId="2" borderId="28" xfId="0" applyFont="1" applyFill="1" applyBorder="1">
      <alignment vertical="center"/>
    </xf>
    <xf numFmtId="0" fontId="8" fillId="2" borderId="29" xfId="0" applyFont="1" applyFill="1" applyBorder="1">
      <alignment vertical="center"/>
    </xf>
    <xf numFmtId="0" fontId="9" fillId="2" borderId="29" xfId="0" applyFont="1" applyFill="1" applyBorder="1">
      <alignment vertical="center"/>
    </xf>
    <xf numFmtId="38" fontId="8" fillId="2" borderId="30" xfId="1" applyFont="1" applyFill="1" applyBorder="1">
      <alignment vertical="center"/>
    </xf>
    <xf numFmtId="176" fontId="8" fillId="2" borderId="31" xfId="1" applyNumberFormat="1" applyFont="1" applyFill="1" applyBorder="1">
      <alignment vertical="center"/>
    </xf>
    <xf numFmtId="0" fontId="8" fillId="2" borderId="9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14" fillId="2" borderId="2" xfId="0" applyFont="1" applyFill="1" applyBorder="1">
      <alignment vertical="center"/>
    </xf>
    <xf numFmtId="0" fontId="8" fillId="0" borderId="0" xfId="0" applyFont="1" applyBorder="1">
      <alignment vertical="center"/>
    </xf>
    <xf numFmtId="0" fontId="8" fillId="2" borderId="17" xfId="0" applyFont="1" applyFill="1" applyBorder="1">
      <alignment vertical="center"/>
    </xf>
    <xf numFmtId="0" fontId="9" fillId="2" borderId="19" xfId="0" applyFont="1" applyFill="1" applyBorder="1">
      <alignment vertical="center"/>
    </xf>
    <xf numFmtId="0" fontId="9" fillId="2" borderId="9" xfId="0" applyFont="1" applyFill="1" applyBorder="1" applyAlignment="1">
      <alignment vertical="center" wrapText="1"/>
    </xf>
    <xf numFmtId="0" fontId="8" fillId="2" borderId="32" xfId="0" applyFont="1" applyFill="1" applyBorder="1">
      <alignment vertical="center"/>
    </xf>
    <xf numFmtId="176" fontId="8" fillId="2" borderId="24" xfId="0" applyNumberFormat="1" applyFont="1" applyFill="1" applyBorder="1">
      <alignment vertical="center"/>
    </xf>
    <xf numFmtId="0" fontId="8" fillId="0" borderId="35" xfId="0" applyFont="1" applyFill="1" applyBorder="1">
      <alignment vertical="center"/>
    </xf>
    <xf numFmtId="0" fontId="8" fillId="0" borderId="36" xfId="0" applyFont="1" applyFill="1" applyBorder="1">
      <alignment vertical="center"/>
    </xf>
    <xf numFmtId="38" fontId="9" fillId="2" borderId="19" xfId="1" applyFont="1" applyFill="1" applyBorder="1">
      <alignment vertical="center"/>
    </xf>
    <xf numFmtId="38" fontId="8" fillId="0" borderId="35" xfId="1" applyFont="1" applyFill="1" applyBorder="1">
      <alignment vertical="center"/>
    </xf>
    <xf numFmtId="38" fontId="8" fillId="0" borderId="36" xfId="1" applyFont="1" applyFill="1" applyBorder="1">
      <alignment vertical="center"/>
    </xf>
    <xf numFmtId="176" fontId="8" fillId="2" borderId="24" xfId="1" applyNumberFormat="1" applyFont="1" applyFill="1" applyBorder="1">
      <alignment vertical="center"/>
    </xf>
    <xf numFmtId="176" fontId="8" fillId="0" borderId="35" xfId="1" applyNumberFormat="1" applyFont="1" applyFill="1" applyBorder="1">
      <alignment vertical="center"/>
    </xf>
    <xf numFmtId="176" fontId="8" fillId="0" borderId="36" xfId="1" applyNumberFormat="1" applyFont="1" applyFill="1" applyBorder="1">
      <alignment vertical="center"/>
    </xf>
    <xf numFmtId="0" fontId="15" fillId="4" borderId="14" xfId="0" applyFont="1" applyFill="1" applyBorder="1">
      <alignment vertical="center"/>
    </xf>
    <xf numFmtId="0" fontId="8" fillId="3" borderId="1" xfId="0" applyFont="1" applyFill="1" applyBorder="1">
      <alignment vertical="center"/>
    </xf>
    <xf numFmtId="0" fontId="8" fillId="3" borderId="18" xfId="0" applyFont="1" applyFill="1" applyBorder="1">
      <alignment vertical="center"/>
    </xf>
    <xf numFmtId="0" fontId="8" fillId="3" borderId="17" xfId="0" applyFont="1" applyFill="1" applyBorder="1">
      <alignment vertical="center"/>
    </xf>
    <xf numFmtId="0" fontId="8" fillId="3" borderId="2" xfId="0" applyFont="1" applyFill="1" applyBorder="1">
      <alignment vertical="center"/>
    </xf>
    <xf numFmtId="0" fontId="8" fillId="3" borderId="7" xfId="0" applyFont="1" applyFill="1" applyBorder="1">
      <alignment vertical="center"/>
    </xf>
    <xf numFmtId="0" fontId="11" fillId="3" borderId="7" xfId="0" applyFont="1" applyFill="1" applyBorder="1">
      <alignment vertical="center"/>
    </xf>
    <xf numFmtId="0" fontId="12" fillId="3" borderId="7" xfId="0" applyFont="1" applyFill="1" applyBorder="1">
      <alignment vertical="center"/>
    </xf>
    <xf numFmtId="0" fontId="8" fillId="3" borderId="22" xfId="0" applyFont="1" applyFill="1" applyBorder="1">
      <alignment vertical="center"/>
    </xf>
    <xf numFmtId="38" fontId="8" fillId="3" borderId="21" xfId="1" applyFont="1" applyFill="1" applyBorder="1">
      <alignment vertical="center"/>
    </xf>
    <xf numFmtId="38" fontId="8" fillId="3" borderId="7" xfId="1" applyFont="1" applyFill="1" applyBorder="1">
      <alignment vertical="center"/>
    </xf>
    <xf numFmtId="38" fontId="8" fillId="3" borderId="13" xfId="1" applyFont="1" applyFill="1" applyBorder="1">
      <alignment vertical="center"/>
    </xf>
    <xf numFmtId="0" fontId="8" fillId="3" borderId="5" xfId="0" applyFont="1" applyFill="1" applyBorder="1">
      <alignment vertical="center"/>
    </xf>
    <xf numFmtId="0" fontId="11" fillId="3" borderId="2" xfId="0" applyFont="1" applyFill="1" applyBorder="1">
      <alignment vertical="center"/>
    </xf>
    <xf numFmtId="38" fontId="8" fillId="3" borderId="5" xfId="1" applyFont="1" applyFill="1" applyBorder="1">
      <alignment vertical="center"/>
    </xf>
    <xf numFmtId="38" fontId="8" fillId="3" borderId="33" xfId="1" applyFont="1" applyFill="1" applyBorder="1">
      <alignment vertical="center"/>
    </xf>
    <xf numFmtId="0" fontId="8" fillId="3" borderId="6" xfId="0" applyFont="1" applyFill="1" applyBorder="1">
      <alignment vertical="center"/>
    </xf>
    <xf numFmtId="0" fontId="8" fillId="3" borderId="32" xfId="0" applyFont="1" applyFill="1" applyBorder="1">
      <alignment vertical="center"/>
    </xf>
    <xf numFmtId="38" fontId="8" fillId="3" borderId="32" xfId="1" applyFont="1" applyFill="1" applyBorder="1">
      <alignment vertical="center"/>
    </xf>
    <xf numFmtId="176" fontId="8" fillId="3" borderId="24" xfId="1" applyNumberFormat="1" applyFont="1" applyFill="1" applyBorder="1">
      <alignment vertical="center"/>
    </xf>
    <xf numFmtId="0" fontId="8" fillId="3" borderId="19" xfId="0" applyFont="1" applyFill="1" applyBorder="1">
      <alignment vertical="center"/>
    </xf>
    <xf numFmtId="0" fontId="8" fillId="3" borderId="13" xfId="0" applyFont="1" applyFill="1" applyBorder="1">
      <alignment vertical="center"/>
    </xf>
    <xf numFmtId="0" fontId="8" fillId="3" borderId="33" xfId="0" applyFont="1" applyFill="1" applyBorder="1">
      <alignment vertical="center"/>
    </xf>
    <xf numFmtId="176" fontId="8" fillId="3" borderId="24" xfId="0" applyNumberFormat="1" applyFont="1" applyFill="1" applyBorder="1">
      <alignment vertical="center"/>
    </xf>
    <xf numFmtId="0" fontId="16" fillId="7" borderId="14" xfId="0" applyFont="1" applyFill="1" applyBorder="1">
      <alignment vertical="center"/>
    </xf>
    <xf numFmtId="0" fontId="8" fillId="6" borderId="16" xfId="0" applyFont="1" applyFill="1" applyBorder="1">
      <alignment vertical="center"/>
    </xf>
    <xf numFmtId="0" fontId="8" fillId="6" borderId="1" xfId="0" applyFont="1" applyFill="1" applyBorder="1">
      <alignment vertical="center"/>
    </xf>
    <xf numFmtId="0" fontId="8" fillId="6" borderId="18" xfId="0" applyFont="1" applyFill="1" applyBorder="1">
      <alignment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8" fillId="6" borderId="2" xfId="0" applyFont="1" applyFill="1" applyBorder="1">
      <alignment vertical="center"/>
    </xf>
    <xf numFmtId="0" fontId="8" fillId="6" borderId="7" xfId="0" applyFont="1" applyFill="1" applyBorder="1">
      <alignment vertical="center"/>
    </xf>
    <xf numFmtId="0" fontId="11" fillId="6" borderId="7" xfId="0" applyFont="1" applyFill="1" applyBorder="1">
      <alignment vertical="center"/>
    </xf>
    <xf numFmtId="0" fontId="12" fillId="6" borderId="7" xfId="0" applyFont="1" applyFill="1" applyBorder="1">
      <alignment vertical="center"/>
    </xf>
    <xf numFmtId="0" fontId="8" fillId="6" borderId="0" xfId="0" applyFont="1" applyFill="1">
      <alignment vertical="center"/>
    </xf>
    <xf numFmtId="0" fontId="9" fillId="6" borderId="22" xfId="0" applyFont="1" applyFill="1" applyBorder="1">
      <alignment vertical="center"/>
    </xf>
    <xf numFmtId="0" fontId="9" fillId="6" borderId="19" xfId="0" applyFont="1" applyFill="1" applyBorder="1">
      <alignment vertical="center"/>
    </xf>
    <xf numFmtId="38" fontId="8" fillId="6" borderId="7" xfId="1" applyFont="1" applyFill="1" applyBorder="1">
      <alignment vertical="center"/>
    </xf>
    <xf numFmtId="38" fontId="8" fillId="6" borderId="13" xfId="1" applyFont="1" applyFill="1" applyBorder="1">
      <alignment vertical="center"/>
    </xf>
    <xf numFmtId="0" fontId="8" fillId="6" borderId="5" xfId="0" applyFont="1" applyFill="1" applyBorder="1">
      <alignment vertical="center"/>
    </xf>
    <xf numFmtId="0" fontId="11" fillId="6" borderId="2" xfId="0" applyFont="1" applyFill="1" applyBorder="1">
      <alignment vertical="center"/>
    </xf>
    <xf numFmtId="0" fontId="8" fillId="6" borderId="6" xfId="0" applyFont="1" applyFill="1" applyBorder="1">
      <alignment vertical="center"/>
    </xf>
    <xf numFmtId="0" fontId="8" fillId="6" borderId="8" xfId="0" applyFont="1" applyFill="1" applyBorder="1">
      <alignment vertical="center"/>
    </xf>
    <xf numFmtId="38" fontId="8" fillId="6" borderId="10" xfId="1" applyFont="1" applyFill="1" applyBorder="1">
      <alignment vertical="center"/>
    </xf>
    <xf numFmtId="0" fontId="9" fillId="6" borderId="23" xfId="0" applyFont="1" applyFill="1" applyBorder="1">
      <alignment vertical="center"/>
    </xf>
    <xf numFmtId="0" fontId="9" fillId="6" borderId="9" xfId="0" applyFont="1" applyFill="1" applyBorder="1">
      <alignment vertical="center"/>
    </xf>
    <xf numFmtId="38" fontId="8" fillId="6" borderId="2" xfId="1" applyFont="1" applyFill="1" applyBorder="1">
      <alignment vertical="center"/>
    </xf>
    <xf numFmtId="0" fontId="8" fillId="6" borderId="9" xfId="0" applyFont="1" applyFill="1" applyBorder="1">
      <alignment vertical="center"/>
    </xf>
    <xf numFmtId="0" fontId="13" fillId="6" borderId="2" xfId="0" applyFont="1" applyFill="1" applyBorder="1">
      <alignment vertical="center"/>
    </xf>
    <xf numFmtId="0" fontId="8" fillId="6" borderId="11" xfId="0" applyFont="1" applyFill="1" applyBorder="1" applyAlignment="1">
      <alignment vertical="center" wrapText="1"/>
    </xf>
    <xf numFmtId="38" fontId="8" fillId="6" borderId="11" xfId="1" applyFont="1" applyFill="1" applyBorder="1">
      <alignment vertical="center"/>
    </xf>
    <xf numFmtId="38" fontId="8" fillId="6" borderId="12" xfId="1" applyFont="1" applyFill="1" applyBorder="1">
      <alignment vertical="center"/>
    </xf>
    <xf numFmtId="0" fontId="14" fillId="6" borderId="2" xfId="0" applyFont="1" applyFill="1" applyBorder="1">
      <alignment vertical="center"/>
    </xf>
    <xf numFmtId="0" fontId="8" fillId="6" borderId="32" xfId="0" applyFont="1" applyFill="1" applyBorder="1">
      <alignment vertical="center"/>
    </xf>
    <xf numFmtId="176" fontId="8" fillId="6" borderId="24" xfId="0" applyNumberFormat="1" applyFont="1" applyFill="1" applyBorder="1">
      <alignment vertical="center"/>
    </xf>
    <xf numFmtId="0" fontId="17" fillId="0" borderId="0" xfId="0" applyFont="1" applyFill="1" applyBorder="1">
      <alignment vertical="center"/>
    </xf>
    <xf numFmtId="0" fontId="17" fillId="0" borderId="0" xfId="0" applyFont="1" applyFill="1">
      <alignment vertical="center"/>
    </xf>
    <xf numFmtId="0" fontId="18" fillId="0" borderId="0" xfId="0" applyFont="1" applyFill="1">
      <alignment vertical="center"/>
    </xf>
    <xf numFmtId="38" fontId="8" fillId="0" borderId="0" xfId="0" applyNumberFormat="1" applyFont="1">
      <alignment vertical="center"/>
    </xf>
    <xf numFmtId="0" fontId="9" fillId="0" borderId="0" xfId="0" applyFont="1">
      <alignment vertical="center"/>
    </xf>
    <xf numFmtId="0" fontId="20" fillId="6" borderId="7" xfId="0" applyFont="1" applyFill="1" applyBorder="1" applyAlignment="1">
      <alignment vertical="center" wrapText="1"/>
    </xf>
    <xf numFmtId="0" fontId="20" fillId="6" borderId="2" xfId="0" applyFont="1" applyFill="1" applyBorder="1" applyAlignment="1">
      <alignment vertical="center" wrapText="1"/>
    </xf>
    <xf numFmtId="0" fontId="5" fillId="0" borderId="0" xfId="2" applyFont="1" applyAlignment="1">
      <alignment vertical="top"/>
    </xf>
    <xf numFmtId="0" fontId="11" fillId="8" borderId="3" xfId="0" applyFont="1" applyFill="1" applyBorder="1">
      <alignment vertical="center"/>
    </xf>
    <xf numFmtId="0" fontId="9" fillId="8" borderId="3" xfId="0" applyFont="1" applyFill="1" applyBorder="1">
      <alignment vertical="center"/>
    </xf>
    <xf numFmtId="0" fontId="9" fillId="8" borderId="3" xfId="0" applyFont="1" applyFill="1" applyBorder="1" applyAlignment="1">
      <alignment horizontal="right" vertical="center"/>
    </xf>
    <xf numFmtId="0" fontId="9" fillId="8" borderId="38" xfId="0" applyFont="1" applyFill="1" applyBorder="1">
      <alignment vertical="center"/>
    </xf>
    <xf numFmtId="38" fontId="9" fillId="8" borderId="38" xfId="1" applyFont="1" applyFill="1" applyBorder="1">
      <alignment vertical="center"/>
    </xf>
    <xf numFmtId="0" fontId="9" fillId="8" borderId="39" xfId="0" applyFont="1" applyFill="1" applyBorder="1">
      <alignment vertical="center"/>
    </xf>
    <xf numFmtId="38" fontId="9" fillId="8" borderId="39" xfId="1" applyFont="1" applyFill="1" applyBorder="1">
      <alignment vertical="center"/>
    </xf>
    <xf numFmtId="0" fontId="9" fillId="8" borderId="41" xfId="0" applyFont="1" applyFill="1" applyBorder="1">
      <alignment vertical="center"/>
    </xf>
    <xf numFmtId="38" fontId="9" fillId="8" borderId="41" xfId="1" applyFont="1" applyFill="1" applyBorder="1">
      <alignment vertical="center"/>
    </xf>
    <xf numFmtId="0" fontId="19" fillId="8" borderId="37" xfId="0" applyFont="1" applyFill="1" applyBorder="1">
      <alignment vertical="center"/>
    </xf>
    <xf numFmtId="0" fontId="9" fillId="8" borderId="40" xfId="0" applyFont="1" applyFill="1" applyBorder="1">
      <alignment vertical="center"/>
    </xf>
    <xf numFmtId="38" fontId="9" fillId="8" borderId="40" xfId="1" applyFont="1" applyFill="1" applyBorder="1">
      <alignment vertical="center"/>
    </xf>
    <xf numFmtId="0" fontId="9" fillId="8" borderId="0" xfId="0" applyFont="1" applyFill="1">
      <alignment vertical="center"/>
    </xf>
    <xf numFmtId="0" fontId="8" fillId="8" borderId="0" xfId="0" applyFont="1" applyFill="1">
      <alignment vertical="center"/>
    </xf>
    <xf numFmtId="0" fontId="4" fillId="0" borderId="0" xfId="2" applyFont="1" applyAlignment="1">
      <alignment horizontal="center"/>
    </xf>
    <xf numFmtId="0" fontId="21" fillId="0" borderId="0" xfId="2" applyFont="1"/>
    <xf numFmtId="0" fontId="22" fillId="0" borderId="0" xfId="2" applyFont="1"/>
    <xf numFmtId="0" fontId="22" fillId="0" borderId="0" xfId="2" applyFont="1" applyAlignment="1">
      <alignment horizontal="left"/>
    </xf>
    <xf numFmtId="38" fontId="5" fillId="0" borderId="24" xfId="1" applyFont="1" applyBorder="1" applyAlignment="1" applyProtection="1">
      <protection locked="0"/>
    </xf>
    <xf numFmtId="0" fontId="5" fillId="0" borderId="42" xfId="2" applyFont="1" applyBorder="1" applyProtection="1">
      <protection locked="0"/>
    </xf>
    <xf numFmtId="0" fontId="5" fillId="0" borderId="24" xfId="2" applyFont="1" applyBorder="1" applyProtection="1">
      <protection locked="0"/>
    </xf>
    <xf numFmtId="0" fontId="5" fillId="0" borderId="43" xfId="2" applyFont="1" applyBorder="1" applyProtection="1">
      <protection locked="0"/>
    </xf>
    <xf numFmtId="0" fontId="10" fillId="8" borderId="0" xfId="0" applyFont="1" applyFill="1">
      <alignment vertical="center"/>
    </xf>
    <xf numFmtId="0" fontId="10" fillId="8" borderId="4" xfId="0" applyFont="1" applyFill="1" applyBorder="1">
      <alignment vertical="center"/>
    </xf>
    <xf numFmtId="0" fontId="10" fillId="8" borderId="3" xfId="0" applyFont="1" applyFill="1" applyBorder="1">
      <alignment vertical="center"/>
    </xf>
    <xf numFmtId="0" fontId="23" fillId="8" borderId="0" xfId="0" applyFont="1" applyFill="1">
      <alignment vertical="center"/>
    </xf>
    <xf numFmtId="38" fontId="8" fillId="0" borderId="0" xfId="1" applyFont="1">
      <alignment vertical="center"/>
    </xf>
    <xf numFmtId="38" fontId="10" fillId="8" borderId="4" xfId="1" applyFont="1" applyFill="1" applyBorder="1" applyAlignment="1">
      <alignment horizontal="right" vertical="center"/>
    </xf>
    <xf numFmtId="38" fontId="10" fillId="8" borderId="0" xfId="1" applyFont="1" applyFill="1" applyAlignment="1">
      <alignment horizontal="right" vertical="center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0" fontId="24" fillId="9" borderId="0" xfId="2" applyFont="1" applyFill="1" applyAlignment="1">
      <alignment horizontal="center"/>
    </xf>
    <xf numFmtId="38" fontId="11" fillId="8" borderId="37" xfId="1" applyFont="1" applyFill="1" applyBorder="1" applyAlignment="1">
      <alignment horizontal="right" vertical="center"/>
    </xf>
    <xf numFmtId="176" fontId="11" fillId="8" borderId="37" xfId="1" applyNumberFormat="1" applyFont="1" applyFill="1" applyBorder="1" applyAlignment="1">
      <alignment horizontal="right" vertical="center"/>
    </xf>
    <xf numFmtId="0" fontId="10" fillId="8" borderId="0" xfId="0" applyFont="1" applyFill="1" applyBorder="1" applyAlignment="1">
      <alignment horizontal="left" vertical="center"/>
    </xf>
    <xf numFmtId="0" fontId="10" fillId="8" borderId="3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left" vertical="center" wrapText="1"/>
    </xf>
    <xf numFmtId="0" fontId="9" fillId="6" borderId="9" xfId="0" applyFont="1" applyFill="1" applyBorder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7" Type="http://schemas.openxmlformats.org/officeDocument/2006/relationships/image" Target="../media/image15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6" Type="http://schemas.openxmlformats.org/officeDocument/2006/relationships/image" Target="../media/image14.emf"/><Relationship Id="rId5" Type="http://schemas.openxmlformats.org/officeDocument/2006/relationships/image" Target="../media/image13.emf"/><Relationship Id="rId4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133349</xdr:colOff>
      <xdr:row>8</xdr:row>
      <xdr:rowOff>175831</xdr:rowOff>
    </xdr:from>
    <xdr:to>
      <xdr:col>3</xdr:col>
      <xdr:colOff>371475</xdr:colOff>
      <xdr:row>10</xdr:row>
      <xdr:rowOff>133363</xdr:rowOff>
    </xdr:to>
    <xdr:sp macro="" textlink="">
      <xdr:nvSpPr>
        <xdr:cNvPr id="2" name="テキスト ボックス 1"/>
        <xdr:cNvSpPr txBox="1">
          <a:spLocks noChangeAspect="1"/>
        </xdr:cNvSpPr>
      </xdr:nvSpPr>
      <xdr:spPr>
        <a:xfrm>
          <a:off x="1771649" y="1890331"/>
          <a:ext cx="238126" cy="3194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ja-JP" altLang="en-US" sz="600"/>
        </a:p>
      </xdr:txBody>
    </xdr:sp>
    <xdr:clientData/>
  </xdr:twoCellAnchor>
  <xdr:twoCellAnchor editAs="oneCell">
    <xdr:from>
      <xdr:col>16</xdr:col>
      <xdr:colOff>190500</xdr:colOff>
      <xdr:row>2</xdr:row>
      <xdr:rowOff>23812</xdr:rowOff>
    </xdr:from>
    <xdr:to>
      <xdr:col>16</xdr:col>
      <xdr:colOff>890587</xdr:colOff>
      <xdr:row>2</xdr:row>
      <xdr:rowOff>211931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8844" y="428625"/>
          <a:ext cx="700087" cy="188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37</xdr:row>
      <xdr:rowOff>56438</xdr:rowOff>
    </xdr:from>
    <xdr:to>
      <xdr:col>11</xdr:col>
      <xdr:colOff>417934</xdr:colOff>
      <xdr:row>72</xdr:row>
      <xdr:rowOff>58313</xdr:rowOff>
    </xdr:to>
    <xdr:grpSp>
      <xdr:nvGrpSpPr>
        <xdr:cNvPr id="4" name="グループ化 3"/>
        <xdr:cNvGrpSpPr/>
      </xdr:nvGrpSpPr>
      <xdr:grpSpPr>
        <a:xfrm>
          <a:off x="0" y="8036055"/>
          <a:ext cx="4869414" cy="6941518"/>
          <a:chOff x="0" y="9696921"/>
          <a:chExt cx="6802260" cy="6704263"/>
        </a:xfrm>
      </xdr:grpSpPr>
      <xdr:grpSp>
        <xdr:nvGrpSpPr>
          <xdr:cNvPr id="5" name="グループ化 4"/>
          <xdr:cNvGrpSpPr/>
        </xdr:nvGrpSpPr>
        <xdr:grpSpPr>
          <a:xfrm>
            <a:off x="0" y="9696921"/>
            <a:ext cx="6163541" cy="6704263"/>
            <a:chOff x="0" y="9627649"/>
            <a:chExt cx="6163541" cy="6704263"/>
          </a:xfrm>
        </xdr:grpSpPr>
        <xdr:grpSp>
          <xdr:nvGrpSpPr>
            <xdr:cNvPr id="7" name="グループ化 6"/>
            <xdr:cNvGrpSpPr/>
          </xdr:nvGrpSpPr>
          <xdr:grpSpPr>
            <a:xfrm>
              <a:off x="1231323" y="10597861"/>
              <a:ext cx="3583997" cy="5705475"/>
              <a:chOff x="8020050" y="7391400"/>
              <a:chExt cx="3562350" cy="5962650"/>
            </a:xfrm>
          </xdr:grpSpPr>
          <xdr:sp macro="" textlink="">
            <xdr:nvSpPr>
              <xdr:cNvPr id="21" name="直方体 20"/>
              <xdr:cNvSpPr/>
            </xdr:nvSpPr>
            <xdr:spPr>
              <a:xfrm flipH="1">
                <a:off x="10267950" y="7391400"/>
                <a:ext cx="600075" cy="5943600"/>
              </a:xfrm>
              <a:prstGeom prst="cube">
                <a:avLst/>
              </a:prstGeom>
              <a:solidFill>
                <a:schemeClr val="accent6">
                  <a:lumMod val="50000"/>
                </a:schemeClr>
              </a:solidFill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2" name="直方体 21"/>
              <xdr:cNvSpPr/>
            </xdr:nvSpPr>
            <xdr:spPr>
              <a:xfrm flipH="1">
                <a:off x="10982325" y="7400925"/>
                <a:ext cx="600075" cy="5943600"/>
              </a:xfrm>
              <a:prstGeom prst="cube">
                <a:avLst/>
              </a:prstGeom>
              <a:solidFill>
                <a:schemeClr val="accent6">
                  <a:lumMod val="50000"/>
                </a:schemeClr>
              </a:solidFill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3" name="直方体 22"/>
              <xdr:cNvSpPr/>
            </xdr:nvSpPr>
            <xdr:spPr>
              <a:xfrm flipH="1">
                <a:off x="8020050" y="7410450"/>
                <a:ext cx="600075" cy="5943600"/>
              </a:xfrm>
              <a:prstGeom prst="cube">
                <a:avLst/>
              </a:prstGeom>
              <a:solidFill>
                <a:schemeClr val="accent6">
                  <a:lumMod val="50000"/>
                </a:schemeClr>
              </a:solidFill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4" name="直方体 23"/>
              <xdr:cNvSpPr/>
            </xdr:nvSpPr>
            <xdr:spPr>
              <a:xfrm flipH="1">
                <a:off x="8801100" y="7400925"/>
                <a:ext cx="600075" cy="5943600"/>
              </a:xfrm>
              <a:prstGeom prst="cube">
                <a:avLst/>
              </a:prstGeom>
              <a:solidFill>
                <a:schemeClr val="accent6">
                  <a:lumMod val="50000"/>
                </a:schemeClr>
              </a:solidFill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5" name="直方体 24"/>
              <xdr:cNvSpPr/>
            </xdr:nvSpPr>
            <xdr:spPr>
              <a:xfrm flipH="1">
                <a:off x="9525000" y="7410450"/>
                <a:ext cx="600075" cy="5943600"/>
              </a:xfrm>
              <a:prstGeom prst="cube">
                <a:avLst/>
              </a:prstGeom>
              <a:solidFill>
                <a:schemeClr val="accent6">
                  <a:lumMod val="50000"/>
                </a:schemeClr>
              </a:solidFill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cxnSp macro="">
          <xdr:nvCxnSpPr>
            <xdr:cNvPr id="8" name="直線コネクタ 7"/>
            <xdr:cNvCxnSpPr/>
          </xdr:nvCxnSpPr>
          <xdr:spPr>
            <a:xfrm flipV="1">
              <a:off x="323850" y="15024389"/>
              <a:ext cx="5839691" cy="19050"/>
            </a:xfrm>
            <a:prstGeom prst="line">
              <a:avLst/>
            </a:prstGeom>
            <a:ln w="381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9" name="テキスト ボックス 8"/>
            <xdr:cNvSpPr txBox="1"/>
          </xdr:nvSpPr>
          <xdr:spPr>
            <a:xfrm>
              <a:off x="5080290" y="14830425"/>
              <a:ext cx="785917" cy="35762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en-US" altLang="ja-JP" sz="1800"/>
                <a:t>GL</a:t>
              </a:r>
              <a:endParaRPr kumimoji="1" lang="ja-JP" altLang="en-US" sz="1800"/>
            </a:p>
          </xdr:txBody>
        </xdr:sp>
        <xdr:grpSp>
          <xdr:nvGrpSpPr>
            <xdr:cNvPr id="10" name="グループ化 9"/>
            <xdr:cNvGrpSpPr/>
          </xdr:nvGrpSpPr>
          <xdr:grpSpPr>
            <a:xfrm>
              <a:off x="1212273" y="10179626"/>
              <a:ext cx="3460172" cy="380134"/>
              <a:chOff x="1495425" y="304800"/>
              <a:chExt cx="3438525" cy="504825"/>
            </a:xfrm>
          </xdr:grpSpPr>
          <xdr:cxnSp macro="">
            <xdr:nvCxnSpPr>
              <xdr:cNvPr id="19" name="直線コネクタ 18"/>
              <xdr:cNvCxnSpPr/>
            </xdr:nvCxnSpPr>
            <xdr:spPr>
              <a:xfrm>
                <a:off x="1495425" y="304800"/>
                <a:ext cx="0" cy="504825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0" name="直線矢印コネクタ 19"/>
              <xdr:cNvCxnSpPr/>
            </xdr:nvCxnSpPr>
            <xdr:spPr>
              <a:xfrm flipV="1">
                <a:off x="1495425" y="581025"/>
                <a:ext cx="3438525" cy="9525"/>
              </a:xfrm>
              <a:prstGeom prst="straightConnector1">
                <a:avLst/>
              </a:prstGeom>
              <a:ln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1" name="グループ化 10"/>
            <xdr:cNvGrpSpPr/>
          </xdr:nvGrpSpPr>
          <xdr:grpSpPr>
            <a:xfrm>
              <a:off x="434686" y="10626436"/>
              <a:ext cx="672812" cy="5705476"/>
              <a:chOff x="647700" y="990600"/>
              <a:chExt cx="666750" cy="5962651"/>
            </a:xfrm>
          </xdr:grpSpPr>
          <xdr:cxnSp macro="">
            <xdr:nvCxnSpPr>
              <xdr:cNvPr id="17" name="直線矢印コネクタ 16"/>
              <xdr:cNvCxnSpPr/>
            </xdr:nvCxnSpPr>
            <xdr:spPr>
              <a:xfrm flipH="1" flipV="1">
                <a:off x="990600" y="1009650"/>
                <a:ext cx="1" cy="5943601"/>
              </a:xfrm>
              <a:prstGeom prst="straightConnector1">
                <a:avLst/>
              </a:prstGeom>
              <a:ln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" name="直線コネクタ 17"/>
              <xdr:cNvCxnSpPr/>
            </xdr:nvCxnSpPr>
            <xdr:spPr>
              <a:xfrm>
                <a:off x="647700" y="990600"/>
                <a:ext cx="666750" cy="9525"/>
              </a:xfrm>
              <a:prstGeom prst="line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2" name="下矢印 11"/>
            <xdr:cNvSpPr/>
          </xdr:nvSpPr>
          <xdr:spPr>
            <a:xfrm>
              <a:off x="1748270" y="10246302"/>
              <a:ext cx="358487" cy="600941"/>
            </a:xfrm>
            <a:prstGeom prst="downArrow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3" name="テキスト ボックス 12"/>
            <xdr:cNvSpPr txBox="1"/>
          </xdr:nvSpPr>
          <xdr:spPr>
            <a:xfrm>
              <a:off x="3553691" y="9939770"/>
              <a:ext cx="1116922" cy="33510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100" b="1">
                  <a:latin typeface="AR P丸ゴシック体M" panose="020B0600010101010101" pitchFamily="50" charset="-128"/>
                  <a:ea typeface="AR P丸ゴシック体M" panose="020B0600010101010101" pitchFamily="50" charset="-128"/>
                </a:rPr>
                <a:t>幅（ｍｍ）</a:t>
              </a:r>
            </a:p>
          </xdr:txBody>
        </xdr:sp>
        <xdr:sp macro="" textlink="">
          <xdr:nvSpPr>
            <xdr:cNvPr id="14" name="テキスト ボックス 13"/>
            <xdr:cNvSpPr txBox="1"/>
          </xdr:nvSpPr>
          <xdr:spPr>
            <a:xfrm>
              <a:off x="1437408" y="9949295"/>
              <a:ext cx="1481723" cy="33510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100" b="1">
                  <a:latin typeface="AR P丸ゴシック体M" panose="020B0600010101010101" pitchFamily="50" charset="-128"/>
                  <a:ea typeface="AR P丸ゴシック体M" panose="020B0600010101010101" pitchFamily="50" charset="-128"/>
                </a:rPr>
                <a:t>隙間（ｍｍ）</a:t>
              </a:r>
            </a:p>
          </xdr:txBody>
        </xdr:sp>
        <xdr:sp macro="" textlink="">
          <xdr:nvSpPr>
            <xdr:cNvPr id="15" name="テキスト ボックス 14"/>
            <xdr:cNvSpPr txBox="1"/>
          </xdr:nvSpPr>
          <xdr:spPr>
            <a:xfrm>
              <a:off x="0" y="12204123"/>
              <a:ext cx="1303425" cy="32731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100" b="1">
                  <a:latin typeface="AR P丸ゴシック体M" panose="020B0600010101010101" pitchFamily="50" charset="-128"/>
                  <a:ea typeface="AR P丸ゴシック体M" panose="020B0600010101010101" pitchFamily="50" charset="-128"/>
                </a:rPr>
                <a:t>高さ（ｍｍ）</a:t>
              </a:r>
            </a:p>
          </xdr:txBody>
        </xdr:sp>
        <xdr:sp macro="" textlink="">
          <xdr:nvSpPr>
            <xdr:cNvPr id="16" name="テキスト ボックス 15"/>
            <xdr:cNvSpPr txBox="1"/>
          </xdr:nvSpPr>
          <xdr:spPr>
            <a:xfrm>
              <a:off x="0" y="9627649"/>
              <a:ext cx="2158801" cy="32731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en-US" altLang="ja-JP" sz="1400" b="1">
                  <a:latin typeface="AR P丸ゴシック体M" panose="020B0600010101010101" pitchFamily="50" charset="-128"/>
                  <a:ea typeface="AR P丸ゴシック体M" panose="020B0600010101010101" pitchFamily="50" charset="-128"/>
                </a:rPr>
                <a:t>75</a:t>
              </a:r>
              <a:r>
                <a:rPr kumimoji="1" lang="ja-JP" altLang="en-US" sz="1400" b="1">
                  <a:latin typeface="AR P丸ゴシック体M" panose="020B0600010101010101" pitchFamily="50" charset="-128"/>
                  <a:ea typeface="AR P丸ゴシック体M" panose="020B0600010101010101" pitchFamily="50" charset="-128"/>
                </a:rPr>
                <a:t>角柱・</a:t>
              </a:r>
              <a:r>
                <a:rPr kumimoji="1" lang="en-US" altLang="ja-JP" sz="1400" b="1">
                  <a:latin typeface="AR P丸ゴシック体M" panose="020B0600010101010101" pitchFamily="50" charset="-128"/>
                  <a:ea typeface="AR P丸ゴシック体M" panose="020B0600010101010101" pitchFamily="50" charset="-128"/>
                </a:rPr>
                <a:t>90</a:t>
              </a:r>
              <a:r>
                <a:rPr kumimoji="1" lang="ja-JP" altLang="en-US" sz="1400" b="1">
                  <a:latin typeface="AR P丸ゴシック体M" panose="020B0600010101010101" pitchFamily="50" charset="-128"/>
                  <a:ea typeface="AR P丸ゴシック体M" panose="020B0600010101010101" pitchFamily="50" charset="-128"/>
                </a:rPr>
                <a:t>角柱</a:t>
              </a:r>
            </a:p>
          </xdr:txBody>
        </xdr:sp>
      </xdr:grpSp>
      <xdr:sp macro="" textlink="">
        <xdr:nvSpPr>
          <xdr:cNvPr id="6" name="テキスト ボックス 5"/>
          <xdr:cNvSpPr txBox="1"/>
        </xdr:nvSpPr>
        <xdr:spPr>
          <a:xfrm>
            <a:off x="4908838" y="15413181"/>
            <a:ext cx="1893422" cy="9525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 b="1">
                <a:latin typeface="AR P丸ゴシック体M" panose="020B0600010101010101" pitchFamily="50" charset="-128"/>
                <a:ea typeface="AR P丸ゴシック体M" panose="020B0600010101010101" pitchFamily="50" charset="-128"/>
              </a:rPr>
              <a:t>埋め込み部分に</a:t>
            </a:r>
            <a:endParaRPr kumimoji="1" lang="en-US" altLang="ja-JP" sz="1100" b="1">
              <a:latin typeface="AR P丸ゴシック体M" panose="020B0600010101010101" pitchFamily="50" charset="-128"/>
              <a:ea typeface="AR P丸ゴシック体M" panose="020B0600010101010101" pitchFamily="50" charset="-128"/>
            </a:endParaRPr>
          </a:p>
          <a:p>
            <a:r>
              <a:rPr kumimoji="1" lang="ja-JP" altLang="en-US" sz="1100" b="1">
                <a:latin typeface="AR P丸ゴシック体M" panose="020B0600010101010101" pitchFamily="50" charset="-128"/>
                <a:ea typeface="AR P丸ゴシック体M" panose="020B0600010101010101" pitchFamily="50" charset="-128"/>
              </a:rPr>
              <a:t>つきましては</a:t>
            </a:r>
            <a:endParaRPr kumimoji="1" lang="en-US" altLang="ja-JP" sz="1100" b="1">
              <a:latin typeface="AR P丸ゴシック体M" panose="020B0600010101010101" pitchFamily="50" charset="-128"/>
              <a:ea typeface="AR P丸ゴシック体M" panose="020B0600010101010101" pitchFamily="50" charset="-128"/>
            </a:endParaRPr>
          </a:p>
          <a:p>
            <a:r>
              <a:rPr kumimoji="1" lang="ja-JP" altLang="en-US" sz="1100" b="1">
                <a:latin typeface="AR P丸ゴシック体M" panose="020B0600010101010101" pitchFamily="50" charset="-128"/>
                <a:ea typeface="AR P丸ゴシック体M" panose="020B0600010101010101" pitchFamily="50" charset="-128"/>
              </a:rPr>
              <a:t>高さに応じて</a:t>
            </a:r>
            <a:endParaRPr kumimoji="1" lang="en-US" altLang="ja-JP" sz="1100" b="1">
              <a:latin typeface="AR P丸ゴシック体M" panose="020B0600010101010101" pitchFamily="50" charset="-128"/>
              <a:ea typeface="AR P丸ゴシック体M" panose="020B0600010101010101" pitchFamily="50" charset="-128"/>
            </a:endParaRPr>
          </a:p>
          <a:p>
            <a:r>
              <a:rPr kumimoji="1" lang="ja-JP" altLang="en-US" sz="1100" b="1">
                <a:latin typeface="AR P丸ゴシック体M" panose="020B0600010101010101" pitchFamily="50" charset="-128"/>
                <a:ea typeface="AR P丸ゴシック体M" panose="020B0600010101010101" pitchFamily="50" charset="-128"/>
              </a:rPr>
              <a:t>計算しています。</a:t>
            </a:r>
          </a:p>
        </xdr:txBody>
      </xdr:sp>
    </xdr:grpSp>
    <xdr:clientData/>
  </xdr:twoCellAnchor>
  <xdr:twoCellAnchor>
    <xdr:from>
      <xdr:col>0</xdr:col>
      <xdr:colOff>0</xdr:colOff>
      <xdr:row>76</xdr:row>
      <xdr:rowOff>16864</xdr:rowOff>
    </xdr:from>
    <xdr:to>
      <xdr:col>11</xdr:col>
      <xdr:colOff>447091</xdr:colOff>
      <xdr:row>117</xdr:row>
      <xdr:rowOff>55596</xdr:rowOff>
    </xdr:to>
    <xdr:grpSp>
      <xdr:nvGrpSpPr>
        <xdr:cNvPr id="26" name="グループ化 25"/>
        <xdr:cNvGrpSpPr/>
      </xdr:nvGrpSpPr>
      <xdr:grpSpPr>
        <a:xfrm>
          <a:off x="0" y="15674798"/>
          <a:ext cx="4898571" cy="8251614"/>
          <a:chOff x="9525" y="18573223"/>
          <a:chExt cx="6449751" cy="8131415"/>
        </a:xfrm>
      </xdr:grpSpPr>
      <xdr:cxnSp macro="">
        <xdr:nvCxnSpPr>
          <xdr:cNvPr id="28" name="直線コネクタ 27"/>
          <xdr:cNvCxnSpPr/>
        </xdr:nvCxnSpPr>
        <xdr:spPr>
          <a:xfrm flipV="1">
            <a:off x="352425" y="25544318"/>
            <a:ext cx="5563466" cy="1905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27" name="グループ化 26"/>
          <xdr:cNvGrpSpPr/>
        </xdr:nvGrpSpPr>
        <xdr:grpSpPr>
          <a:xfrm>
            <a:off x="1026536" y="19925762"/>
            <a:ext cx="3836413" cy="6655191"/>
            <a:chOff x="8462963" y="16215370"/>
            <a:chExt cx="3805241" cy="6954675"/>
          </a:xfrm>
        </xdr:grpSpPr>
        <xdr:sp macro="" textlink="">
          <xdr:nvSpPr>
            <xdr:cNvPr id="42" name="直方体 41"/>
            <xdr:cNvSpPr/>
          </xdr:nvSpPr>
          <xdr:spPr>
            <a:xfrm rot="16200000">
              <a:off x="10220329" y="18849975"/>
              <a:ext cx="295274" cy="3800476"/>
            </a:xfrm>
            <a:prstGeom prst="cube">
              <a:avLst>
                <a:gd name="adj" fmla="val 24100"/>
              </a:avLst>
            </a:prstGeom>
            <a:solidFill>
              <a:schemeClr val="accent6">
                <a:lumMod val="50000"/>
              </a:schemeClr>
            </a:solidFill>
            <a:ln w="31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43" name="直方体 42"/>
            <xdr:cNvSpPr/>
          </xdr:nvSpPr>
          <xdr:spPr>
            <a:xfrm rot="16200000">
              <a:off x="10194133" y="16585405"/>
              <a:ext cx="257175" cy="3719515"/>
            </a:xfrm>
            <a:prstGeom prst="cube">
              <a:avLst>
                <a:gd name="adj" fmla="val 22593"/>
              </a:avLst>
            </a:prstGeom>
            <a:solidFill>
              <a:schemeClr val="accent6">
                <a:lumMod val="50000"/>
              </a:schemeClr>
            </a:solidFill>
            <a:ln w="31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48" name="直方体 47"/>
            <xdr:cNvSpPr/>
          </xdr:nvSpPr>
          <xdr:spPr>
            <a:xfrm flipH="1">
              <a:off x="10943595" y="16215370"/>
              <a:ext cx="500164" cy="6954675"/>
            </a:xfrm>
            <a:prstGeom prst="cube">
              <a:avLst>
                <a:gd name="adj" fmla="val 24118"/>
              </a:avLst>
            </a:prstGeom>
            <a:solidFill>
              <a:schemeClr val="accent6">
                <a:lumMod val="50000"/>
              </a:schemeClr>
            </a:solidFill>
            <a:ln w="31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29" name="テキスト ボックス 28"/>
          <xdr:cNvSpPr txBox="1"/>
        </xdr:nvSpPr>
        <xdr:spPr>
          <a:xfrm>
            <a:off x="4758170" y="25371136"/>
            <a:ext cx="754119" cy="36541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800"/>
              <a:t>GL</a:t>
            </a:r>
            <a:endParaRPr kumimoji="1" lang="ja-JP" altLang="en-US" sz="1800"/>
          </a:p>
        </xdr:txBody>
      </xdr:sp>
      <xdr:grpSp>
        <xdr:nvGrpSpPr>
          <xdr:cNvPr id="30" name="グループ化 29"/>
          <xdr:cNvGrpSpPr/>
        </xdr:nvGrpSpPr>
        <xdr:grpSpPr>
          <a:xfrm>
            <a:off x="1277134" y="18987675"/>
            <a:ext cx="3482494" cy="619991"/>
            <a:chOff x="1672976" y="180021"/>
            <a:chExt cx="3451207" cy="504825"/>
          </a:xfrm>
        </xdr:grpSpPr>
        <xdr:cxnSp macro="">
          <xdr:nvCxnSpPr>
            <xdr:cNvPr id="40" name="直線コネクタ 39"/>
            <xdr:cNvCxnSpPr/>
          </xdr:nvCxnSpPr>
          <xdr:spPr>
            <a:xfrm>
              <a:off x="1672976" y="180021"/>
              <a:ext cx="0" cy="504825"/>
            </a:xfrm>
            <a:prstGeom prst="line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" name="直線矢印コネクタ 40"/>
            <xdr:cNvCxnSpPr/>
          </xdr:nvCxnSpPr>
          <xdr:spPr>
            <a:xfrm flipV="1">
              <a:off x="1685658" y="425052"/>
              <a:ext cx="3438525" cy="9525"/>
            </a:xfrm>
            <a:prstGeom prst="straightConnector1">
              <a:avLst/>
            </a:prstGeom>
            <a:ln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1" name="グループ化 30"/>
          <xdr:cNvGrpSpPr/>
        </xdr:nvGrpSpPr>
        <xdr:grpSpPr>
          <a:xfrm>
            <a:off x="415636" y="19867418"/>
            <a:ext cx="672812" cy="5705476"/>
            <a:chOff x="647700" y="990600"/>
            <a:chExt cx="666750" cy="5962651"/>
          </a:xfrm>
        </xdr:grpSpPr>
        <xdr:cxnSp macro="">
          <xdr:nvCxnSpPr>
            <xdr:cNvPr id="38" name="直線矢印コネクタ 37"/>
            <xdr:cNvCxnSpPr/>
          </xdr:nvCxnSpPr>
          <xdr:spPr>
            <a:xfrm flipH="1" flipV="1">
              <a:off x="990600" y="1009650"/>
              <a:ext cx="1" cy="5943601"/>
            </a:xfrm>
            <a:prstGeom prst="straightConnector1">
              <a:avLst/>
            </a:prstGeom>
            <a:ln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" name="直線コネクタ 38"/>
            <xdr:cNvCxnSpPr/>
          </xdr:nvCxnSpPr>
          <xdr:spPr>
            <a:xfrm>
              <a:off x="647700" y="990600"/>
              <a:ext cx="666750" cy="9525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32" name="下矢印 31"/>
          <xdr:cNvSpPr/>
        </xdr:nvSpPr>
        <xdr:spPr>
          <a:xfrm>
            <a:off x="1703334" y="19361141"/>
            <a:ext cx="264151" cy="438702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3" name="テキスト ボックス 32"/>
          <xdr:cNvSpPr txBox="1"/>
        </xdr:nvSpPr>
        <xdr:spPr>
          <a:xfrm>
            <a:off x="3672429" y="19045776"/>
            <a:ext cx="1252178" cy="3515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 b="1">
                <a:latin typeface="AR P丸ゴシック体M" panose="020B0600010101010101" pitchFamily="50" charset="-128"/>
                <a:ea typeface="AR P丸ゴシック体M" panose="020B0600010101010101" pitchFamily="50" charset="-128"/>
              </a:rPr>
              <a:t>幅（ｍｍ）</a:t>
            </a:r>
          </a:p>
        </xdr:txBody>
      </xdr:sp>
      <xdr:sp macro="" textlink="">
        <xdr:nvSpPr>
          <xdr:cNvPr id="34" name="テキスト ボックス 33"/>
          <xdr:cNvSpPr txBox="1"/>
        </xdr:nvSpPr>
        <xdr:spPr>
          <a:xfrm>
            <a:off x="1428924" y="19055353"/>
            <a:ext cx="1117022" cy="3515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 b="1">
                <a:latin typeface="AR P丸ゴシック体M" panose="020B0600010101010101" pitchFamily="50" charset="-128"/>
                <a:ea typeface="AR P丸ゴシック体M" panose="020B0600010101010101" pitchFamily="50" charset="-128"/>
              </a:rPr>
              <a:t>隙間（ｍｍ）</a:t>
            </a:r>
          </a:p>
        </xdr:txBody>
      </xdr:sp>
      <xdr:sp macro="" textlink="">
        <xdr:nvSpPr>
          <xdr:cNvPr id="35" name="テキスト ボックス 34"/>
          <xdr:cNvSpPr txBox="1"/>
        </xdr:nvSpPr>
        <xdr:spPr>
          <a:xfrm>
            <a:off x="9525" y="21203516"/>
            <a:ext cx="1829988" cy="32731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 b="1">
                <a:latin typeface="AR P丸ゴシック体M" panose="020B0600010101010101" pitchFamily="50" charset="-128"/>
                <a:ea typeface="AR P丸ゴシック体M" panose="020B0600010101010101" pitchFamily="50" charset="-128"/>
              </a:rPr>
              <a:t>高さ（ｍｍ）</a:t>
            </a:r>
          </a:p>
        </xdr:txBody>
      </xdr:sp>
      <xdr:sp macro="" textlink="">
        <xdr:nvSpPr>
          <xdr:cNvPr id="36" name="テキスト ボックス 35"/>
          <xdr:cNvSpPr txBox="1"/>
        </xdr:nvSpPr>
        <xdr:spPr>
          <a:xfrm>
            <a:off x="4554682" y="25752137"/>
            <a:ext cx="1904594" cy="9525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 b="1">
                <a:latin typeface="AR P丸ゴシック体M" panose="020B0600010101010101" pitchFamily="50" charset="-128"/>
                <a:ea typeface="AR P丸ゴシック体M" panose="020B0600010101010101" pitchFamily="50" charset="-128"/>
              </a:rPr>
              <a:t>埋め込み部分に</a:t>
            </a:r>
            <a:endParaRPr kumimoji="1" lang="en-US" altLang="ja-JP" sz="1100" b="1">
              <a:latin typeface="AR P丸ゴシック体M" panose="020B0600010101010101" pitchFamily="50" charset="-128"/>
              <a:ea typeface="AR P丸ゴシック体M" panose="020B0600010101010101" pitchFamily="50" charset="-128"/>
            </a:endParaRPr>
          </a:p>
          <a:p>
            <a:r>
              <a:rPr kumimoji="1" lang="ja-JP" altLang="en-US" sz="1100" b="1">
                <a:latin typeface="AR P丸ゴシック体M" panose="020B0600010101010101" pitchFamily="50" charset="-128"/>
                <a:ea typeface="AR P丸ゴシック体M" panose="020B0600010101010101" pitchFamily="50" charset="-128"/>
              </a:rPr>
              <a:t>つきましては</a:t>
            </a:r>
            <a:endParaRPr kumimoji="1" lang="en-US" altLang="ja-JP" sz="1100" b="1">
              <a:latin typeface="AR P丸ゴシック体M" panose="020B0600010101010101" pitchFamily="50" charset="-128"/>
              <a:ea typeface="AR P丸ゴシック体M" panose="020B0600010101010101" pitchFamily="50" charset="-128"/>
            </a:endParaRPr>
          </a:p>
          <a:p>
            <a:r>
              <a:rPr kumimoji="1" lang="ja-JP" altLang="en-US" sz="1100" b="1">
                <a:latin typeface="AR P丸ゴシック体M" panose="020B0600010101010101" pitchFamily="50" charset="-128"/>
                <a:ea typeface="AR P丸ゴシック体M" panose="020B0600010101010101" pitchFamily="50" charset="-128"/>
              </a:rPr>
              <a:t>高さに応じて</a:t>
            </a:r>
            <a:endParaRPr kumimoji="1" lang="en-US" altLang="ja-JP" sz="1100" b="1">
              <a:latin typeface="AR P丸ゴシック体M" panose="020B0600010101010101" pitchFamily="50" charset="-128"/>
              <a:ea typeface="AR P丸ゴシック体M" panose="020B0600010101010101" pitchFamily="50" charset="-128"/>
            </a:endParaRPr>
          </a:p>
          <a:p>
            <a:r>
              <a:rPr kumimoji="1" lang="ja-JP" altLang="en-US" sz="1100" b="1">
                <a:latin typeface="AR P丸ゴシック体M" panose="020B0600010101010101" pitchFamily="50" charset="-128"/>
                <a:ea typeface="AR P丸ゴシック体M" panose="020B0600010101010101" pitchFamily="50" charset="-128"/>
              </a:rPr>
              <a:t>計算しています。</a:t>
            </a:r>
          </a:p>
        </xdr:txBody>
      </xdr:sp>
      <xdr:sp macro="" textlink="">
        <xdr:nvSpPr>
          <xdr:cNvPr id="37" name="テキスト ボックス 36"/>
          <xdr:cNvSpPr txBox="1"/>
        </xdr:nvSpPr>
        <xdr:spPr>
          <a:xfrm>
            <a:off x="86592" y="18573223"/>
            <a:ext cx="2687113" cy="5195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 b="1">
                <a:latin typeface="AR P丸ゴシック体M" panose="020B0600010101010101" pitchFamily="50" charset="-128"/>
                <a:ea typeface="AR P丸ゴシック体M" panose="020B0600010101010101" pitchFamily="50" charset="-128"/>
              </a:rPr>
              <a:t>格子</a:t>
            </a:r>
            <a:r>
              <a:rPr kumimoji="1" lang="en-US" altLang="ja-JP" sz="1400" b="1">
                <a:latin typeface="AR P丸ゴシック体M" panose="020B0600010101010101" pitchFamily="50" charset="-128"/>
                <a:ea typeface="AR P丸ゴシック体M" panose="020B0600010101010101" pitchFamily="50" charset="-128"/>
              </a:rPr>
              <a:t>/</a:t>
            </a:r>
            <a:r>
              <a:rPr kumimoji="1" lang="ja-JP" altLang="en-US" sz="1400" b="1">
                <a:latin typeface="AR P丸ゴシック体M" panose="020B0600010101010101" pitchFamily="50" charset="-128"/>
                <a:ea typeface="AR P丸ゴシック体M" panose="020B0600010101010101" pitchFamily="50" charset="-128"/>
              </a:rPr>
              <a:t>柱材</a:t>
            </a:r>
            <a:r>
              <a:rPr kumimoji="1" lang="en-US" altLang="ja-JP" sz="1400" b="1">
                <a:latin typeface="AR P丸ゴシック体M" panose="020B0600010101010101" pitchFamily="50" charset="-128"/>
                <a:ea typeface="AR P丸ゴシック体M" panose="020B0600010101010101" pitchFamily="50" charset="-128"/>
              </a:rPr>
              <a:t>30×40</a:t>
            </a:r>
            <a:endParaRPr kumimoji="1" lang="ja-JP" altLang="en-US" sz="1400" b="1">
              <a:latin typeface="AR P丸ゴシック体M" panose="020B0600010101010101" pitchFamily="50" charset="-128"/>
              <a:ea typeface="AR P丸ゴシック体M" panose="020B0600010101010101" pitchFamily="50" charset="-128"/>
            </a:endParaRPr>
          </a:p>
        </xdr:txBody>
      </xdr:sp>
    </xdr:grpSp>
    <xdr:clientData/>
  </xdr:twoCellAnchor>
  <xdr:twoCellAnchor>
    <xdr:from>
      <xdr:col>0</xdr:col>
      <xdr:colOff>0</xdr:colOff>
      <xdr:row>3</xdr:row>
      <xdr:rowOff>83343</xdr:rowOff>
    </xdr:from>
    <xdr:to>
      <xdr:col>11</xdr:col>
      <xdr:colOff>165229</xdr:colOff>
      <xdr:row>34</xdr:row>
      <xdr:rowOff>119062</xdr:rowOff>
    </xdr:to>
    <xdr:grpSp>
      <xdr:nvGrpSpPr>
        <xdr:cNvPr id="52" name="グループ化 51"/>
        <xdr:cNvGrpSpPr/>
      </xdr:nvGrpSpPr>
      <xdr:grpSpPr>
        <a:xfrm>
          <a:off x="0" y="880333"/>
          <a:ext cx="4616709" cy="6742096"/>
          <a:chOff x="-166555" y="34746"/>
          <a:chExt cx="6384581" cy="7075667"/>
        </a:xfrm>
      </xdr:grpSpPr>
      <xdr:grpSp>
        <xdr:nvGrpSpPr>
          <xdr:cNvPr id="53" name="グループ化 52"/>
          <xdr:cNvGrpSpPr/>
        </xdr:nvGrpSpPr>
        <xdr:grpSpPr>
          <a:xfrm>
            <a:off x="-166555" y="34746"/>
            <a:ext cx="6384581" cy="7075667"/>
            <a:chOff x="-169874" y="38456"/>
            <a:chExt cx="6453059" cy="6883621"/>
          </a:xfrm>
        </xdr:grpSpPr>
        <xdr:grpSp>
          <xdr:nvGrpSpPr>
            <xdr:cNvPr id="58" name="グループ化 57"/>
            <xdr:cNvGrpSpPr/>
          </xdr:nvGrpSpPr>
          <xdr:grpSpPr>
            <a:xfrm>
              <a:off x="-169874" y="38456"/>
              <a:ext cx="6453059" cy="6883621"/>
              <a:chOff x="-169874" y="38456"/>
              <a:chExt cx="6453059" cy="6883621"/>
            </a:xfrm>
          </xdr:grpSpPr>
          <xdr:grpSp>
            <xdr:nvGrpSpPr>
              <xdr:cNvPr id="60" name="グループ化 59"/>
              <xdr:cNvGrpSpPr/>
            </xdr:nvGrpSpPr>
            <xdr:grpSpPr>
              <a:xfrm>
                <a:off x="-56074" y="171450"/>
                <a:ext cx="6339259" cy="6750627"/>
                <a:chOff x="-56074" y="171450"/>
                <a:chExt cx="6339259" cy="6750627"/>
              </a:xfrm>
            </xdr:grpSpPr>
            <xdr:sp macro="" textlink="">
              <xdr:nvSpPr>
                <xdr:cNvPr id="62" name="直方体 61"/>
                <xdr:cNvSpPr/>
              </xdr:nvSpPr>
              <xdr:spPr>
                <a:xfrm flipH="1">
                  <a:off x="1485033" y="815686"/>
                  <a:ext cx="631248" cy="6106391"/>
                </a:xfrm>
                <a:prstGeom prst="cube">
                  <a:avLst/>
                </a:prstGeom>
                <a:solidFill>
                  <a:schemeClr val="accent6">
                    <a:lumMod val="50000"/>
                  </a:schemeClr>
                </a:solidFill>
                <a:ln w="3175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  <xdr:sp macro="" textlink="">
              <xdr:nvSpPr>
                <xdr:cNvPr id="63" name="直方体 62"/>
                <xdr:cNvSpPr/>
              </xdr:nvSpPr>
              <xdr:spPr>
                <a:xfrm flipH="1">
                  <a:off x="1635700" y="2151785"/>
                  <a:ext cx="3149312" cy="471921"/>
                </a:xfrm>
                <a:prstGeom prst="cube">
                  <a:avLst>
                    <a:gd name="adj" fmla="val 6564"/>
                  </a:avLst>
                </a:prstGeom>
                <a:solidFill>
                  <a:schemeClr val="accent6">
                    <a:lumMod val="50000"/>
                  </a:schemeClr>
                </a:solidFill>
                <a:ln w="6350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  <xdr:sp macro="" textlink="">
              <xdr:nvSpPr>
                <xdr:cNvPr id="64" name="直方体 63"/>
                <xdr:cNvSpPr/>
              </xdr:nvSpPr>
              <xdr:spPr>
                <a:xfrm flipH="1">
                  <a:off x="1627907" y="2720686"/>
                  <a:ext cx="3149312" cy="470189"/>
                </a:xfrm>
                <a:prstGeom prst="cube">
                  <a:avLst>
                    <a:gd name="adj" fmla="val 6564"/>
                  </a:avLst>
                </a:prstGeom>
                <a:solidFill>
                  <a:schemeClr val="accent6">
                    <a:lumMod val="50000"/>
                  </a:schemeClr>
                </a:solidFill>
                <a:ln w="6350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  <xdr:sp macro="" textlink="">
              <xdr:nvSpPr>
                <xdr:cNvPr id="65" name="直方体 64"/>
                <xdr:cNvSpPr/>
              </xdr:nvSpPr>
              <xdr:spPr>
                <a:xfrm flipH="1">
                  <a:off x="1627905" y="3287857"/>
                  <a:ext cx="3149312" cy="462395"/>
                </a:xfrm>
                <a:prstGeom prst="cube">
                  <a:avLst>
                    <a:gd name="adj" fmla="val 6564"/>
                  </a:avLst>
                </a:prstGeom>
                <a:solidFill>
                  <a:schemeClr val="accent6">
                    <a:lumMod val="50000"/>
                  </a:schemeClr>
                </a:solidFill>
                <a:ln w="6350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  <xdr:grpSp>
              <xdr:nvGrpSpPr>
                <xdr:cNvPr id="66" name="グループ化 65"/>
                <xdr:cNvGrpSpPr/>
              </xdr:nvGrpSpPr>
              <xdr:grpSpPr>
                <a:xfrm>
                  <a:off x="1786370" y="2210667"/>
                  <a:ext cx="238126" cy="451134"/>
                  <a:chOff x="6505575" y="6835286"/>
                  <a:chExt cx="305868" cy="413236"/>
                </a:xfrm>
              </xdr:grpSpPr>
              <xdr:sp macro="" textlink="">
                <xdr:nvSpPr>
                  <xdr:cNvPr id="110" name="テキスト ボックス 109"/>
                  <xdr:cNvSpPr txBox="1">
                    <a:spLocks noChangeAspect="1"/>
                  </xdr:cNvSpPr>
                </xdr:nvSpPr>
                <xdr:spPr>
                  <a:xfrm>
                    <a:off x="6505575" y="6835286"/>
                    <a:ext cx="305868" cy="219072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vertOverflow="clip" horzOverflow="clip" wrap="square" rtlCol="0" anchor="t">
                    <a:noAutofit/>
                  </a:bodyPr>
                  <a:lstStyle/>
                  <a:p>
                    <a:r>
                      <a:rPr kumimoji="1" lang="ja-JP" altLang="en-US" sz="600"/>
                      <a:t>●</a:t>
                    </a:r>
                  </a:p>
                </xdr:txBody>
              </xdr:sp>
              <xdr:sp macro="" textlink="">
                <xdr:nvSpPr>
                  <xdr:cNvPr id="111" name="テキスト ボックス 110"/>
                  <xdr:cNvSpPr txBox="1">
                    <a:spLocks noChangeAspect="1"/>
                  </xdr:cNvSpPr>
                </xdr:nvSpPr>
                <xdr:spPr>
                  <a:xfrm>
                    <a:off x="6505575" y="7029450"/>
                    <a:ext cx="305868" cy="219072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vertOverflow="clip" horzOverflow="clip" wrap="square" rtlCol="0" anchor="t">
                    <a:noAutofit/>
                  </a:bodyPr>
                  <a:lstStyle/>
                  <a:p>
                    <a:r>
                      <a:rPr kumimoji="1" lang="ja-JP" altLang="en-US" sz="600"/>
                      <a:t>●</a:t>
                    </a:r>
                  </a:p>
                </xdr:txBody>
              </xdr:sp>
            </xdr:grpSp>
            <xdr:grpSp>
              <xdr:nvGrpSpPr>
                <xdr:cNvPr id="67" name="グループ化 66"/>
                <xdr:cNvGrpSpPr/>
              </xdr:nvGrpSpPr>
              <xdr:grpSpPr>
                <a:xfrm>
                  <a:off x="1786370" y="2777836"/>
                  <a:ext cx="238126" cy="443346"/>
                  <a:chOff x="6505575" y="6791325"/>
                  <a:chExt cx="305868" cy="457197"/>
                </a:xfrm>
              </xdr:grpSpPr>
              <xdr:sp macro="" textlink="">
                <xdr:nvSpPr>
                  <xdr:cNvPr id="108" name="テキスト ボックス 107"/>
                  <xdr:cNvSpPr txBox="1">
                    <a:spLocks noChangeAspect="1"/>
                  </xdr:cNvSpPr>
                </xdr:nvSpPr>
                <xdr:spPr>
                  <a:xfrm>
                    <a:off x="6505575" y="6791325"/>
                    <a:ext cx="305868" cy="219072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vertOverflow="clip" horzOverflow="clip" wrap="square" rtlCol="0" anchor="t">
                    <a:noAutofit/>
                  </a:bodyPr>
                  <a:lstStyle/>
                  <a:p>
                    <a:r>
                      <a:rPr kumimoji="1" lang="ja-JP" altLang="en-US" sz="600"/>
                      <a:t>●</a:t>
                    </a:r>
                  </a:p>
                </xdr:txBody>
              </xdr:sp>
              <xdr:sp macro="" textlink="">
                <xdr:nvSpPr>
                  <xdr:cNvPr id="109" name="テキスト ボックス 108"/>
                  <xdr:cNvSpPr txBox="1">
                    <a:spLocks noChangeAspect="1"/>
                  </xdr:cNvSpPr>
                </xdr:nvSpPr>
                <xdr:spPr>
                  <a:xfrm>
                    <a:off x="6505575" y="7029450"/>
                    <a:ext cx="305868" cy="219072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vertOverflow="clip" horzOverflow="clip" wrap="square" rtlCol="0" anchor="t">
                    <a:noAutofit/>
                  </a:bodyPr>
                  <a:lstStyle/>
                  <a:p>
                    <a:r>
                      <a:rPr kumimoji="1" lang="ja-JP" altLang="en-US" sz="600"/>
                      <a:t>●</a:t>
                    </a:r>
                  </a:p>
                </xdr:txBody>
              </xdr:sp>
            </xdr:grpSp>
            <xdr:sp macro="" textlink="">
              <xdr:nvSpPr>
                <xdr:cNvPr id="68" name="直方体 67"/>
                <xdr:cNvSpPr/>
              </xdr:nvSpPr>
              <xdr:spPr>
                <a:xfrm flipH="1">
                  <a:off x="1627909" y="3845502"/>
                  <a:ext cx="3141853" cy="462396"/>
                </a:xfrm>
                <a:prstGeom prst="cube">
                  <a:avLst>
                    <a:gd name="adj" fmla="val 6564"/>
                  </a:avLst>
                </a:prstGeom>
                <a:solidFill>
                  <a:schemeClr val="accent6">
                    <a:lumMod val="50000"/>
                  </a:schemeClr>
                </a:solidFill>
                <a:ln w="6350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  <xdr:cxnSp macro="">
              <xdr:nvCxnSpPr>
                <xdr:cNvPr id="69" name="直線コネクタ 68"/>
                <xdr:cNvCxnSpPr/>
              </xdr:nvCxnSpPr>
              <xdr:spPr>
                <a:xfrm flipV="1">
                  <a:off x="501361" y="6125441"/>
                  <a:ext cx="5557405" cy="19050"/>
                </a:xfrm>
                <a:prstGeom prst="line">
                  <a:avLst/>
                </a:prstGeom>
                <a:ln w="38100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70" name="テキスト ボックス 69"/>
                <xdr:cNvSpPr txBox="1"/>
              </xdr:nvSpPr>
              <xdr:spPr>
                <a:xfrm>
                  <a:off x="5068678" y="5912101"/>
                  <a:ext cx="777516" cy="365414"/>
                </a:xfrm>
                <a:prstGeom prst="rect">
                  <a:avLst/>
                </a:prstGeom>
                <a:solidFill>
                  <a:schemeClr val="lt1"/>
                </a:solidFill>
                <a:ln w="9525" cmpd="sng">
                  <a:solidFill>
                    <a:schemeClr val="lt1">
                      <a:shade val="50000"/>
                    </a:schemeClr>
                  </a:solidFill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r>
                    <a:rPr kumimoji="1" lang="en-US" altLang="ja-JP" sz="1800"/>
                    <a:t>GL</a:t>
                  </a:r>
                  <a:endParaRPr kumimoji="1" lang="ja-JP" altLang="en-US" sz="1800"/>
                </a:p>
              </xdr:txBody>
            </xdr:sp>
            <xdr:sp macro="" textlink="">
              <xdr:nvSpPr>
                <xdr:cNvPr id="71" name="直方体 70"/>
                <xdr:cNvSpPr/>
              </xdr:nvSpPr>
              <xdr:spPr>
                <a:xfrm flipH="1">
                  <a:off x="1627908" y="1584614"/>
                  <a:ext cx="3149312" cy="452870"/>
                </a:xfrm>
                <a:prstGeom prst="cube">
                  <a:avLst>
                    <a:gd name="adj" fmla="val 6564"/>
                  </a:avLst>
                </a:prstGeom>
                <a:solidFill>
                  <a:schemeClr val="accent6">
                    <a:lumMod val="50000"/>
                  </a:schemeClr>
                </a:solidFill>
                <a:ln w="6350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  <xdr:grpSp>
              <xdr:nvGrpSpPr>
                <xdr:cNvPr id="72" name="グループ化 71"/>
                <xdr:cNvGrpSpPr/>
              </xdr:nvGrpSpPr>
              <xdr:grpSpPr>
                <a:xfrm>
                  <a:off x="1786370" y="1632239"/>
                  <a:ext cx="238126" cy="462396"/>
                  <a:chOff x="6505575" y="6791325"/>
                  <a:chExt cx="305868" cy="457197"/>
                </a:xfrm>
              </xdr:grpSpPr>
              <xdr:sp macro="" textlink="">
                <xdr:nvSpPr>
                  <xdr:cNvPr id="106" name="テキスト ボックス 105"/>
                  <xdr:cNvSpPr txBox="1">
                    <a:spLocks noChangeAspect="1"/>
                  </xdr:cNvSpPr>
                </xdr:nvSpPr>
                <xdr:spPr>
                  <a:xfrm>
                    <a:off x="6505575" y="6791325"/>
                    <a:ext cx="305868" cy="219072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vertOverflow="clip" horzOverflow="clip" wrap="square" rtlCol="0" anchor="t">
                    <a:noAutofit/>
                  </a:bodyPr>
                  <a:lstStyle/>
                  <a:p>
                    <a:r>
                      <a:rPr kumimoji="1" lang="ja-JP" altLang="en-US" sz="600"/>
                      <a:t>●</a:t>
                    </a:r>
                  </a:p>
                </xdr:txBody>
              </xdr:sp>
              <xdr:sp macro="" textlink="">
                <xdr:nvSpPr>
                  <xdr:cNvPr id="107" name="テキスト ボックス 106"/>
                  <xdr:cNvSpPr txBox="1">
                    <a:spLocks noChangeAspect="1"/>
                  </xdr:cNvSpPr>
                </xdr:nvSpPr>
                <xdr:spPr>
                  <a:xfrm>
                    <a:off x="6505575" y="7029450"/>
                    <a:ext cx="305868" cy="219072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vertOverflow="clip" horzOverflow="clip" wrap="square" rtlCol="0" anchor="t">
                    <a:noAutofit/>
                  </a:bodyPr>
                  <a:lstStyle/>
                  <a:p>
                    <a:r>
                      <a:rPr kumimoji="1" lang="ja-JP" altLang="en-US" sz="600"/>
                      <a:t>●</a:t>
                    </a:r>
                  </a:p>
                </xdr:txBody>
              </xdr:sp>
            </xdr:grpSp>
            <xdr:grpSp>
              <xdr:nvGrpSpPr>
                <xdr:cNvPr id="73" name="グループ化 72"/>
                <xdr:cNvGrpSpPr/>
              </xdr:nvGrpSpPr>
              <xdr:grpSpPr>
                <a:xfrm>
                  <a:off x="1513609" y="249382"/>
                  <a:ext cx="3461905" cy="440748"/>
                  <a:chOff x="1495425" y="304800"/>
                  <a:chExt cx="3438525" cy="504825"/>
                </a:xfrm>
              </xdr:grpSpPr>
              <xdr:cxnSp macro="">
                <xdr:nvCxnSpPr>
                  <xdr:cNvPr id="104" name="直線コネクタ 103"/>
                  <xdr:cNvCxnSpPr/>
                </xdr:nvCxnSpPr>
                <xdr:spPr>
                  <a:xfrm>
                    <a:off x="1495425" y="304800"/>
                    <a:ext cx="0" cy="504825"/>
                  </a:xfrm>
                  <a:prstGeom prst="line">
                    <a:avLst/>
                  </a:prstGeom>
                  <a:ln>
                    <a:solidFill>
                      <a:sysClr val="windowText" lastClr="00000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05" name="直線矢印コネクタ 104"/>
                  <xdr:cNvCxnSpPr/>
                </xdr:nvCxnSpPr>
                <xdr:spPr>
                  <a:xfrm flipV="1">
                    <a:off x="1495425" y="581025"/>
                    <a:ext cx="3438525" cy="9525"/>
                  </a:xfrm>
                  <a:prstGeom prst="straightConnector1">
                    <a:avLst/>
                  </a:prstGeom>
                  <a:ln>
                    <a:solidFill>
                      <a:schemeClr val="tx1"/>
                    </a:solidFill>
                    <a:tailEnd type="triangle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grpSp>
              <xdr:nvGrpSpPr>
                <xdr:cNvPr id="74" name="グループ化 73"/>
                <xdr:cNvGrpSpPr/>
              </xdr:nvGrpSpPr>
              <xdr:grpSpPr>
                <a:xfrm>
                  <a:off x="653761" y="815686"/>
                  <a:ext cx="678873" cy="5319281"/>
                  <a:chOff x="647700" y="990600"/>
                  <a:chExt cx="666750" cy="5962651"/>
                </a:xfrm>
              </xdr:grpSpPr>
              <xdr:cxnSp macro="">
                <xdr:nvCxnSpPr>
                  <xdr:cNvPr id="102" name="直線矢印コネクタ 101"/>
                  <xdr:cNvCxnSpPr/>
                </xdr:nvCxnSpPr>
                <xdr:spPr>
                  <a:xfrm flipH="1" flipV="1">
                    <a:off x="990600" y="1009650"/>
                    <a:ext cx="1" cy="5943601"/>
                  </a:xfrm>
                  <a:prstGeom prst="straightConnector1">
                    <a:avLst/>
                  </a:prstGeom>
                  <a:ln>
                    <a:solidFill>
                      <a:schemeClr val="tx1"/>
                    </a:solidFill>
                    <a:tailEnd type="triangle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03" name="直線コネクタ 102"/>
                  <xdr:cNvCxnSpPr/>
                </xdr:nvCxnSpPr>
                <xdr:spPr>
                  <a:xfrm>
                    <a:off x="647700" y="990600"/>
                    <a:ext cx="666750" cy="9525"/>
                  </a:xfrm>
                  <a:prstGeom prst="line">
                    <a:avLst/>
                  </a:prstGeom>
                  <a:ln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sp macro="" textlink="">
              <xdr:nvSpPr>
                <xdr:cNvPr id="75" name="右矢印 74"/>
                <xdr:cNvSpPr/>
              </xdr:nvSpPr>
              <xdr:spPr>
                <a:xfrm>
                  <a:off x="4113934" y="1978602"/>
                  <a:ext cx="787111" cy="241590"/>
                </a:xfrm>
                <a:prstGeom prst="rightArrow">
                  <a:avLst/>
                </a:prstGeom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  <xdr:grpSp>
              <xdr:nvGrpSpPr>
                <xdr:cNvPr id="76" name="グループ化 75"/>
                <xdr:cNvGrpSpPr/>
              </xdr:nvGrpSpPr>
              <xdr:grpSpPr>
                <a:xfrm>
                  <a:off x="1672069" y="4307898"/>
                  <a:ext cx="3162301" cy="1846119"/>
                  <a:chOff x="1647824" y="4476750"/>
                  <a:chExt cx="3143251" cy="1905001"/>
                </a:xfrm>
              </xdr:grpSpPr>
              <xdr:sp macro="" textlink="">
                <xdr:nvSpPr>
                  <xdr:cNvPr id="86" name="テキスト ボックス 85"/>
                  <xdr:cNvSpPr txBox="1"/>
                </xdr:nvSpPr>
                <xdr:spPr>
                  <a:xfrm>
                    <a:off x="2800350" y="5238750"/>
                    <a:ext cx="1238250" cy="285750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wrap="square" rtlCol="0" anchor="t"/>
                  <a:lstStyle/>
                  <a:p>
                    <a:r>
                      <a:rPr kumimoji="1" lang="ja-JP" altLang="en-US" sz="1100" b="1" cap="none" spc="0">
                        <a:ln w="0"/>
                        <a:solidFill>
                          <a:schemeClr val="tx1"/>
                        </a:solidFill>
                        <a:effectLst>
                          <a:outerShdw blurRad="38100" dist="19050" dir="2700000" algn="tl" rotWithShape="0">
                            <a:schemeClr val="dk1">
                              <a:alpha val="40000"/>
                            </a:schemeClr>
                          </a:outerShdw>
                        </a:effectLst>
                        <a:latin typeface="AR P丸ゴシック体M" panose="020B0600010101010101" pitchFamily="50" charset="-128"/>
                        <a:ea typeface="AR P丸ゴシック体M" panose="020B0600010101010101" pitchFamily="50" charset="-128"/>
                      </a:rPr>
                      <a:t>下部隙間（ｍｍ）</a:t>
                    </a:r>
                    <a:r>
                      <a:rPr kumimoji="1" lang="ja-JP" altLang="en-US" sz="1100">
                        <a:latin typeface="AR P丸ゴシック体M" panose="020B0600010101010101" pitchFamily="50" charset="-128"/>
                        <a:ea typeface="AR P丸ゴシック体M" panose="020B0600010101010101" pitchFamily="50" charset="-128"/>
                      </a:rPr>
                      <a:t>　</a:t>
                    </a:r>
                  </a:p>
                </xdr:txBody>
              </xdr:sp>
              <xdr:sp macro="" textlink="">
                <xdr:nvSpPr>
                  <xdr:cNvPr id="87" name="上下矢印 86"/>
                  <xdr:cNvSpPr/>
                </xdr:nvSpPr>
                <xdr:spPr>
                  <a:xfrm>
                    <a:off x="1733550" y="4476750"/>
                    <a:ext cx="257175" cy="1876426"/>
                  </a:xfrm>
                  <a:prstGeom prst="upDownArrow">
                    <a:avLst/>
                  </a:prstGeom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kumimoji="1" lang="ja-JP" altLang="en-US" sz="1100"/>
                  </a:p>
                </xdr:txBody>
              </xdr:sp>
              <xdr:grpSp>
                <xdr:nvGrpSpPr>
                  <xdr:cNvPr id="88" name="グループ化 87"/>
                  <xdr:cNvGrpSpPr/>
                </xdr:nvGrpSpPr>
                <xdr:grpSpPr>
                  <a:xfrm>
                    <a:off x="1647824" y="4476751"/>
                    <a:ext cx="3143251" cy="1905000"/>
                    <a:chOff x="1628774" y="4905375"/>
                    <a:chExt cx="3143251" cy="1476375"/>
                  </a:xfrm>
                </xdr:grpSpPr>
                <xdr:sp macro="" textlink="">
                  <xdr:nvSpPr>
                    <xdr:cNvPr id="89" name="正方形/長方形 88"/>
                    <xdr:cNvSpPr/>
                  </xdr:nvSpPr>
                  <xdr:spPr>
                    <a:xfrm>
                      <a:off x="1628775" y="4924425"/>
                      <a:ext cx="3124199" cy="1419225"/>
                    </a:xfrm>
                    <a:prstGeom prst="rect">
                      <a:avLst/>
                    </a:prstGeom>
                    <a:noFill/>
                    <a:ln>
                      <a:solidFill>
                        <a:schemeClr val="accent1">
                          <a:lumMod val="50000"/>
                        </a:schemeClr>
                      </a:solidFill>
                      <a:prstDash val="lgDashDot"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vertOverflow="clip" horzOverflow="clip" rtlCol="0" anchor="t"/>
                    <a:lstStyle/>
                    <a:p>
                      <a:pPr algn="l"/>
                      <a:endParaRPr kumimoji="1" lang="ja-JP" altLang="en-US" sz="1100"/>
                    </a:p>
                  </xdr:txBody>
                </xdr:sp>
                <xdr:cxnSp macro="">
                  <xdr:nvCxnSpPr>
                    <xdr:cNvPr id="90" name="直線コネクタ 89"/>
                    <xdr:cNvCxnSpPr>
                      <a:stCxn id="89" idx="3"/>
                    </xdr:cNvCxnSpPr>
                  </xdr:nvCxnSpPr>
                  <xdr:spPr>
                    <a:xfrm flipH="1">
                      <a:off x="3676650" y="5634038"/>
                      <a:ext cx="1076324" cy="709612"/>
                    </a:xfrm>
                    <a:prstGeom prst="line">
                      <a:avLst/>
                    </a:prstGeom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91" name="直線コネクタ 90"/>
                    <xdr:cNvCxnSpPr/>
                  </xdr:nvCxnSpPr>
                  <xdr:spPr>
                    <a:xfrm flipH="1">
                      <a:off x="4010025" y="5915025"/>
                      <a:ext cx="752476" cy="457200"/>
                    </a:xfrm>
                    <a:prstGeom prst="line">
                      <a:avLst/>
                    </a:prstGeom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92" name="直線コネクタ 91"/>
                    <xdr:cNvCxnSpPr/>
                  </xdr:nvCxnSpPr>
                  <xdr:spPr>
                    <a:xfrm flipH="1">
                      <a:off x="4457700" y="6162675"/>
                      <a:ext cx="304801" cy="180975"/>
                    </a:xfrm>
                    <a:prstGeom prst="line">
                      <a:avLst/>
                    </a:prstGeom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93" name="直線コネクタ 92"/>
                    <xdr:cNvCxnSpPr/>
                  </xdr:nvCxnSpPr>
                  <xdr:spPr>
                    <a:xfrm flipH="1">
                      <a:off x="1628774" y="4914900"/>
                      <a:ext cx="428625" cy="238125"/>
                    </a:xfrm>
                    <a:prstGeom prst="line">
                      <a:avLst/>
                    </a:prstGeom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94" name="直線コネクタ 93"/>
                    <xdr:cNvCxnSpPr/>
                  </xdr:nvCxnSpPr>
                  <xdr:spPr>
                    <a:xfrm flipH="1">
                      <a:off x="1657350" y="4914900"/>
                      <a:ext cx="819150" cy="495300"/>
                    </a:xfrm>
                    <a:prstGeom prst="line">
                      <a:avLst/>
                    </a:prstGeom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95" name="直線コネクタ 94"/>
                    <xdr:cNvCxnSpPr/>
                  </xdr:nvCxnSpPr>
                  <xdr:spPr>
                    <a:xfrm flipH="1">
                      <a:off x="1628775" y="4905375"/>
                      <a:ext cx="1362075" cy="800100"/>
                    </a:xfrm>
                    <a:prstGeom prst="line">
                      <a:avLst/>
                    </a:prstGeom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96" name="直線コネクタ 95"/>
                    <xdr:cNvCxnSpPr/>
                  </xdr:nvCxnSpPr>
                  <xdr:spPr>
                    <a:xfrm flipH="1">
                      <a:off x="1647826" y="4943475"/>
                      <a:ext cx="1676399" cy="1009650"/>
                    </a:xfrm>
                    <a:prstGeom prst="line">
                      <a:avLst/>
                    </a:prstGeom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97" name="直線コネクタ 96"/>
                    <xdr:cNvCxnSpPr/>
                  </xdr:nvCxnSpPr>
                  <xdr:spPr>
                    <a:xfrm flipH="1">
                      <a:off x="1638300" y="4905375"/>
                      <a:ext cx="2143125" cy="1323975"/>
                    </a:xfrm>
                    <a:prstGeom prst="line">
                      <a:avLst/>
                    </a:prstGeom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98" name="直線コネクタ 97"/>
                    <xdr:cNvCxnSpPr/>
                  </xdr:nvCxnSpPr>
                  <xdr:spPr>
                    <a:xfrm flipH="1">
                      <a:off x="1933575" y="4924425"/>
                      <a:ext cx="2219325" cy="1419225"/>
                    </a:xfrm>
                    <a:prstGeom prst="line">
                      <a:avLst/>
                    </a:prstGeom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99" name="直線コネクタ 98"/>
                    <xdr:cNvCxnSpPr/>
                  </xdr:nvCxnSpPr>
                  <xdr:spPr>
                    <a:xfrm flipH="1">
                      <a:off x="2381250" y="4924425"/>
                      <a:ext cx="2219325" cy="1419225"/>
                    </a:xfrm>
                    <a:prstGeom prst="line">
                      <a:avLst/>
                    </a:prstGeom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00" name="直線コネクタ 99"/>
                    <xdr:cNvCxnSpPr/>
                  </xdr:nvCxnSpPr>
                  <xdr:spPr>
                    <a:xfrm flipH="1">
                      <a:off x="2781301" y="5114925"/>
                      <a:ext cx="1990724" cy="1266825"/>
                    </a:xfrm>
                    <a:prstGeom prst="line">
                      <a:avLst/>
                    </a:prstGeom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01" name="直線コネクタ 100"/>
                    <xdr:cNvCxnSpPr/>
                  </xdr:nvCxnSpPr>
                  <xdr:spPr>
                    <a:xfrm flipH="1">
                      <a:off x="3324225" y="5395436"/>
                      <a:ext cx="1400175" cy="933450"/>
                    </a:xfrm>
                    <a:prstGeom prst="line">
                      <a:avLst/>
                    </a:prstGeom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</xdr:grpSp>
            </xdr:grpSp>
            <xdr:grpSp>
              <xdr:nvGrpSpPr>
                <xdr:cNvPr id="77" name="グループ化 76"/>
                <xdr:cNvGrpSpPr/>
              </xdr:nvGrpSpPr>
              <xdr:grpSpPr>
                <a:xfrm>
                  <a:off x="1786370" y="3335482"/>
                  <a:ext cx="238126" cy="443340"/>
                  <a:chOff x="6505575" y="6835286"/>
                  <a:chExt cx="305868" cy="413236"/>
                </a:xfrm>
              </xdr:grpSpPr>
              <xdr:sp macro="" textlink="">
                <xdr:nvSpPr>
                  <xdr:cNvPr id="84" name="テキスト ボックス 83"/>
                  <xdr:cNvSpPr txBox="1">
                    <a:spLocks noChangeAspect="1"/>
                  </xdr:cNvSpPr>
                </xdr:nvSpPr>
                <xdr:spPr>
                  <a:xfrm>
                    <a:off x="6505575" y="6835286"/>
                    <a:ext cx="305868" cy="219072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vertOverflow="clip" horzOverflow="clip" wrap="square" rtlCol="0" anchor="t">
                    <a:noAutofit/>
                  </a:bodyPr>
                  <a:lstStyle/>
                  <a:p>
                    <a:r>
                      <a:rPr kumimoji="1" lang="ja-JP" altLang="en-US" sz="600"/>
                      <a:t>●</a:t>
                    </a:r>
                  </a:p>
                </xdr:txBody>
              </xdr:sp>
              <xdr:sp macro="" textlink="">
                <xdr:nvSpPr>
                  <xdr:cNvPr id="85" name="テキスト ボックス 84"/>
                  <xdr:cNvSpPr txBox="1">
                    <a:spLocks noChangeAspect="1"/>
                  </xdr:cNvSpPr>
                </xdr:nvSpPr>
                <xdr:spPr>
                  <a:xfrm>
                    <a:off x="6505575" y="7029450"/>
                    <a:ext cx="305868" cy="219072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vertOverflow="clip" horzOverflow="clip" wrap="square" rtlCol="0" anchor="t">
                    <a:noAutofit/>
                  </a:bodyPr>
                  <a:lstStyle/>
                  <a:p>
                    <a:r>
                      <a:rPr kumimoji="1" lang="ja-JP" altLang="en-US" sz="600"/>
                      <a:t>●</a:t>
                    </a:r>
                  </a:p>
                </xdr:txBody>
              </xdr:sp>
            </xdr:grpSp>
            <xdr:grpSp>
              <xdr:nvGrpSpPr>
                <xdr:cNvPr id="78" name="グループ化 77"/>
                <xdr:cNvGrpSpPr/>
              </xdr:nvGrpSpPr>
              <xdr:grpSpPr>
                <a:xfrm>
                  <a:off x="1767320" y="3902652"/>
                  <a:ext cx="238126" cy="443341"/>
                  <a:chOff x="6505575" y="6835286"/>
                  <a:chExt cx="305868" cy="413236"/>
                </a:xfrm>
              </xdr:grpSpPr>
              <xdr:sp macro="" textlink="">
                <xdr:nvSpPr>
                  <xdr:cNvPr id="82" name="テキスト ボックス 81"/>
                  <xdr:cNvSpPr txBox="1">
                    <a:spLocks noChangeAspect="1"/>
                  </xdr:cNvSpPr>
                </xdr:nvSpPr>
                <xdr:spPr>
                  <a:xfrm>
                    <a:off x="6505575" y="6835286"/>
                    <a:ext cx="305868" cy="219072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vertOverflow="clip" horzOverflow="clip" wrap="square" rtlCol="0" anchor="t">
                    <a:noAutofit/>
                  </a:bodyPr>
                  <a:lstStyle/>
                  <a:p>
                    <a:r>
                      <a:rPr kumimoji="1" lang="ja-JP" altLang="en-US" sz="600"/>
                      <a:t>●</a:t>
                    </a:r>
                  </a:p>
                </xdr:txBody>
              </xdr:sp>
              <xdr:sp macro="" textlink="">
                <xdr:nvSpPr>
                  <xdr:cNvPr id="83" name="テキスト ボックス 82"/>
                  <xdr:cNvSpPr txBox="1">
                    <a:spLocks noChangeAspect="1"/>
                  </xdr:cNvSpPr>
                </xdr:nvSpPr>
                <xdr:spPr>
                  <a:xfrm>
                    <a:off x="6505575" y="7029450"/>
                    <a:ext cx="305868" cy="219072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vertOverflow="clip" horzOverflow="clip" wrap="square" rtlCol="0" anchor="t">
                    <a:noAutofit/>
                  </a:bodyPr>
                  <a:lstStyle/>
                  <a:p>
                    <a:r>
                      <a:rPr kumimoji="1" lang="ja-JP" altLang="en-US" sz="600"/>
                      <a:t>●</a:t>
                    </a:r>
                  </a:p>
                </xdr:txBody>
              </xdr:sp>
            </xdr:grpSp>
            <xdr:sp macro="" textlink="">
              <xdr:nvSpPr>
                <xdr:cNvPr id="79" name="テキスト ボックス 78"/>
                <xdr:cNvSpPr txBox="1"/>
              </xdr:nvSpPr>
              <xdr:spPr>
                <a:xfrm>
                  <a:off x="3639416" y="171450"/>
                  <a:ext cx="1393996" cy="331643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r>
                    <a:rPr kumimoji="1" lang="ja-JP" altLang="en-US" sz="1100" b="1">
                      <a:latin typeface="AR P丸ゴシック体M" panose="020B0600010101010101" pitchFamily="50" charset="-128"/>
                      <a:ea typeface="AR P丸ゴシック体M" panose="020B0600010101010101" pitchFamily="50" charset="-128"/>
                    </a:rPr>
                    <a:t>幅（ｍｍ）</a:t>
                  </a:r>
                </a:p>
              </xdr:txBody>
            </xdr:sp>
            <xdr:sp macro="" textlink="">
              <xdr:nvSpPr>
                <xdr:cNvPr id="80" name="テキスト ボックス 79"/>
                <xdr:cNvSpPr txBox="1"/>
              </xdr:nvSpPr>
              <xdr:spPr>
                <a:xfrm>
                  <a:off x="-56074" y="2599076"/>
                  <a:ext cx="1362418" cy="327313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r>
                    <a:rPr kumimoji="1" lang="ja-JP" altLang="en-US" sz="1100" b="1">
                      <a:latin typeface="AR P丸ゴシック体M" panose="020B0600010101010101" pitchFamily="50" charset="-128"/>
                      <a:ea typeface="AR P丸ゴシック体M" panose="020B0600010101010101" pitchFamily="50" charset="-128"/>
                    </a:rPr>
                    <a:t>高さ（ｍｍ）</a:t>
                  </a:r>
                </a:p>
              </xdr:txBody>
            </xdr:sp>
            <xdr:sp macro="" textlink="">
              <xdr:nvSpPr>
                <xdr:cNvPr id="81" name="テキスト ボックス 80"/>
                <xdr:cNvSpPr txBox="1"/>
              </xdr:nvSpPr>
              <xdr:spPr>
                <a:xfrm>
                  <a:off x="4891520" y="1969077"/>
                  <a:ext cx="1391665" cy="327314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r>
                    <a:rPr kumimoji="1" lang="ja-JP" altLang="en-US" sz="1100" b="1">
                      <a:latin typeface="AR P丸ゴシック体M" panose="020B0600010101010101" pitchFamily="50" charset="-128"/>
                      <a:ea typeface="AR P丸ゴシック体M" panose="020B0600010101010101" pitchFamily="50" charset="-128"/>
                    </a:rPr>
                    <a:t>隙間（ｍｍ）</a:t>
                  </a:r>
                </a:p>
              </xdr:txBody>
            </xdr:sp>
          </xdr:grpSp>
          <xdr:sp macro="" textlink="">
            <xdr:nvSpPr>
              <xdr:cNvPr id="61" name="テキスト ボックス 60"/>
              <xdr:cNvSpPr txBox="1"/>
            </xdr:nvSpPr>
            <xdr:spPr>
              <a:xfrm>
                <a:off x="-169874" y="38456"/>
                <a:ext cx="2043868" cy="52072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kumimoji="1" lang="ja-JP" altLang="en-US" sz="1400" b="1">
                    <a:latin typeface="AR P丸ゴシック体M" panose="020B0600010101010101" pitchFamily="50" charset="-128"/>
                    <a:ea typeface="AR P丸ゴシック体M" panose="020B0600010101010101" pitchFamily="50" charset="-128"/>
                  </a:rPr>
                  <a:t>フェンスタイプ</a:t>
                </a:r>
                <a:endParaRPr kumimoji="1" lang="en-US" altLang="ja-JP" sz="1400" b="1">
                  <a:latin typeface="AR P丸ゴシック体M" panose="020B0600010101010101" pitchFamily="50" charset="-128"/>
                  <a:ea typeface="AR P丸ゴシック体M" panose="020B0600010101010101" pitchFamily="50" charset="-128"/>
                </a:endParaRPr>
              </a:p>
              <a:p>
                <a:endParaRPr kumimoji="1" lang="ja-JP" altLang="en-US" sz="1400" b="1">
                  <a:latin typeface="AR P丸ゴシック体M" panose="020B0600010101010101" pitchFamily="50" charset="-128"/>
                  <a:ea typeface="AR P丸ゴシック体M" panose="020B0600010101010101" pitchFamily="50" charset="-128"/>
                </a:endParaRPr>
              </a:p>
            </xdr:txBody>
          </xdr:sp>
        </xdr:grpSp>
        <xdr:sp macro="" textlink="">
          <xdr:nvSpPr>
            <xdr:cNvPr id="59" name="テキスト ボックス 58"/>
            <xdr:cNvSpPr txBox="1"/>
          </xdr:nvSpPr>
          <xdr:spPr>
            <a:xfrm>
              <a:off x="2355272" y="6303818"/>
              <a:ext cx="3152556" cy="57149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100" b="1">
                  <a:latin typeface="AR P丸ゴシック体M" panose="020B0600010101010101" pitchFamily="50" charset="-128"/>
                  <a:ea typeface="AR P丸ゴシック体M" panose="020B0600010101010101" pitchFamily="50" charset="-128"/>
                </a:rPr>
                <a:t>埋め込み部分につきましては</a:t>
              </a:r>
              <a:endParaRPr kumimoji="1" lang="en-US" altLang="ja-JP" sz="1100" b="1">
                <a:latin typeface="AR P丸ゴシック体M" panose="020B0600010101010101" pitchFamily="50" charset="-128"/>
                <a:ea typeface="AR P丸ゴシック体M" panose="020B0600010101010101" pitchFamily="50" charset="-128"/>
              </a:endParaRPr>
            </a:p>
            <a:p>
              <a:r>
                <a:rPr kumimoji="1" lang="ja-JP" altLang="en-US" sz="1100" b="1">
                  <a:latin typeface="AR P丸ゴシック体M" panose="020B0600010101010101" pitchFamily="50" charset="-128"/>
                  <a:ea typeface="AR P丸ゴシック体M" panose="020B0600010101010101" pitchFamily="50" charset="-128"/>
                </a:rPr>
                <a:t>高さに応じて計算しています。</a:t>
              </a:r>
            </a:p>
          </xdr:txBody>
        </xdr:sp>
      </xdr:grpSp>
      <xdr:sp macro="" textlink="">
        <xdr:nvSpPr>
          <xdr:cNvPr id="54" name="直方体 53"/>
          <xdr:cNvSpPr/>
        </xdr:nvSpPr>
        <xdr:spPr>
          <a:xfrm flipH="1">
            <a:off x="1607344" y="976312"/>
            <a:ext cx="3115892" cy="465505"/>
          </a:xfrm>
          <a:prstGeom prst="cube">
            <a:avLst>
              <a:gd name="adj" fmla="val 6564"/>
            </a:avLst>
          </a:prstGeom>
          <a:solidFill>
            <a:schemeClr val="accent6">
              <a:lumMod val="50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5" name="グループ化 54"/>
          <xdr:cNvGrpSpPr/>
        </xdr:nvGrpSpPr>
        <xdr:grpSpPr>
          <a:xfrm>
            <a:off x="1771651" y="1023937"/>
            <a:ext cx="237980" cy="442200"/>
            <a:chOff x="10987088" y="1345406"/>
            <a:chExt cx="237980" cy="442200"/>
          </a:xfrm>
        </xdr:grpSpPr>
        <xdr:sp macro="" textlink="">
          <xdr:nvSpPr>
            <xdr:cNvPr id="56" name="テキスト ボックス 55"/>
            <xdr:cNvSpPr txBox="1">
              <a:spLocks noChangeAspect="1"/>
            </xdr:cNvSpPr>
          </xdr:nvSpPr>
          <xdr:spPr>
            <a:xfrm>
              <a:off x="10989469" y="1345406"/>
              <a:ext cx="235599" cy="218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kumimoji="1" lang="ja-JP" altLang="en-US" sz="600"/>
                <a:t>●</a:t>
              </a:r>
            </a:p>
          </xdr:txBody>
        </xdr:sp>
        <xdr:sp macro="" textlink="">
          <xdr:nvSpPr>
            <xdr:cNvPr id="57" name="テキスト ボックス 56"/>
            <xdr:cNvSpPr txBox="1">
              <a:spLocks noChangeAspect="1"/>
            </xdr:cNvSpPr>
          </xdr:nvSpPr>
          <xdr:spPr>
            <a:xfrm>
              <a:off x="10987088" y="1569244"/>
              <a:ext cx="235599" cy="218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kumimoji="1" lang="ja-JP" altLang="en-US" sz="600"/>
                <a:t>●</a:t>
              </a:r>
            </a:p>
          </xdr:txBody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48600</xdr:colOff>
          <xdr:row>11</xdr:row>
          <xdr:rowOff>177186</xdr:rowOff>
        </xdr:from>
        <xdr:to>
          <xdr:col>14</xdr:col>
          <xdr:colOff>242986</xdr:colOff>
          <xdr:row>23</xdr:row>
          <xdr:rowOff>31105</xdr:rowOff>
        </xdr:to>
        <xdr:pic>
          <xdr:nvPicPr>
            <xdr:cNvPr id="114" name="図 113"/>
            <xdr:cNvPicPr>
              <a:picLocks noChangeAspect="1" noChangeArrowheads="1"/>
              <a:extLst>
                <a:ext uri="{84589F7E-364E-4C9E-8A38-B11213B215E9}">
                  <a14:cameraTool cellRange="計算シート!$G$74:$K$81" spid="_x0000_s136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101585" y="3267951"/>
              <a:ext cx="2857498" cy="206994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261014</xdr:colOff>
          <xdr:row>11</xdr:row>
          <xdr:rowOff>172034</xdr:rowOff>
        </xdr:from>
        <xdr:to>
          <xdr:col>18</xdr:col>
          <xdr:colOff>136071</xdr:colOff>
          <xdr:row>23</xdr:row>
          <xdr:rowOff>37584</xdr:rowOff>
        </xdr:to>
        <xdr:pic>
          <xdr:nvPicPr>
            <xdr:cNvPr id="115" name="図 114"/>
            <xdr:cNvPicPr>
              <a:picLocks noChangeAspect="1" noChangeArrowheads="1"/>
              <a:extLst>
                <a:ext uri="{84589F7E-364E-4C9E-8A38-B11213B215E9}">
                  <a14:cameraTool cellRange="計算シート!$G$83:$K$90" spid="_x0000_s136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977111" y="3262799"/>
              <a:ext cx="2858909" cy="208157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147639</xdr:colOff>
          <xdr:row>8</xdr:row>
          <xdr:rowOff>288101</xdr:rowOff>
        </xdr:from>
        <xdr:to>
          <xdr:col>22</xdr:col>
          <xdr:colOff>311020</xdr:colOff>
          <xdr:row>23</xdr:row>
          <xdr:rowOff>48597</xdr:rowOff>
        </xdr:to>
        <xdr:pic>
          <xdr:nvPicPr>
            <xdr:cNvPr id="116" name="図 115"/>
            <xdr:cNvPicPr>
              <a:picLocks noChangeAspect="1" noChangeArrowheads="1"/>
              <a:extLst>
                <a:ext uri="{84589F7E-364E-4C9E-8A38-B11213B215E9}">
                  <a14:cameraTool cellRange="計算シート!$G$92:$K$101" spid="_x0000_s1368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9847588" y="2708229"/>
              <a:ext cx="2923687" cy="2647154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29159</xdr:colOff>
          <xdr:row>48</xdr:row>
          <xdr:rowOff>101033</xdr:rowOff>
        </xdr:from>
        <xdr:to>
          <xdr:col>15</xdr:col>
          <xdr:colOff>657031</xdr:colOff>
          <xdr:row>52</xdr:row>
          <xdr:rowOff>145791</xdr:rowOff>
        </xdr:to>
        <xdr:pic>
          <xdr:nvPicPr>
            <xdr:cNvPr id="117" name="図 116"/>
            <xdr:cNvPicPr>
              <a:picLocks noChangeAspect="1" noChangeArrowheads="1"/>
              <a:extLst>
                <a:ext uri="{84589F7E-364E-4C9E-8A38-B11213B215E9}">
                  <a14:cameraTool cellRange="計算シート!$G$105:$K$107" spid="_x0000_s1369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4480639" y="10588252"/>
              <a:ext cx="3388178" cy="78343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42767</xdr:colOff>
          <xdr:row>48</xdr:row>
          <xdr:rowOff>96854</xdr:rowOff>
        </xdr:from>
        <xdr:to>
          <xdr:col>20</xdr:col>
          <xdr:colOff>285655</xdr:colOff>
          <xdr:row>52</xdr:row>
          <xdr:rowOff>148172</xdr:rowOff>
        </xdr:to>
        <xdr:pic>
          <xdr:nvPicPr>
            <xdr:cNvPr id="118" name="図 117"/>
            <xdr:cNvPicPr>
              <a:picLocks noChangeAspect="1" noChangeArrowheads="1"/>
              <a:extLst>
                <a:ext uri="{84589F7E-364E-4C9E-8A38-B11213B215E9}">
                  <a14:cameraTool cellRange="計算シート!$G$109:$K$111" spid="_x0000_s1370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7944629" y="10584073"/>
              <a:ext cx="3421128" cy="78999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86</xdr:row>
          <xdr:rowOff>73819</xdr:rowOff>
        </xdr:from>
        <xdr:to>
          <xdr:col>15</xdr:col>
          <xdr:colOff>651977</xdr:colOff>
          <xdr:row>99</xdr:row>
          <xdr:rowOff>19050</xdr:rowOff>
        </xdr:to>
        <xdr:pic>
          <xdr:nvPicPr>
            <xdr:cNvPr id="119" name="図 118"/>
            <xdr:cNvPicPr>
              <a:picLocks noChangeAspect="1" noChangeArrowheads="1"/>
              <a:extLst>
                <a:ext uri="{84589F7E-364E-4C9E-8A38-B11213B215E9}">
                  <a14:cameraTool cellRange="計算シート!$G$113:$K$120" spid="_x0000_s1371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6212682" y="17561719"/>
              <a:ext cx="3409950" cy="242173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791741</xdr:colOff>
          <xdr:row>4</xdr:row>
          <xdr:rowOff>319185</xdr:rowOff>
        </xdr:from>
        <xdr:to>
          <xdr:col>18</xdr:col>
          <xdr:colOff>96999</xdr:colOff>
          <xdr:row>11</xdr:row>
          <xdr:rowOff>26437</xdr:rowOff>
        </xdr:to>
        <xdr:pic>
          <xdr:nvPicPr>
            <xdr:cNvPr id="123" name="図 122"/>
            <xdr:cNvPicPr>
              <a:picLocks noChangeAspect="1" noChangeArrowheads="1"/>
              <a:extLst>
                <a:ext uri="{84589F7E-364E-4C9E-8A38-B11213B215E9}">
                  <a14:cameraTool cellRange="計算シート!$Q$73:$R$78" spid="_x0000_s1372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8693603" y="1417476"/>
              <a:ext cx="1103345" cy="169972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chemeClr val="tx1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7</xdr:col>
      <xdr:colOff>223547</xdr:colOff>
      <xdr:row>81</xdr:row>
      <xdr:rowOff>259850</xdr:rowOff>
    </xdr:from>
    <xdr:to>
      <xdr:col>8</xdr:col>
      <xdr:colOff>208037</xdr:colOff>
      <xdr:row>116</xdr:row>
      <xdr:rowOff>122371</xdr:rowOff>
    </xdr:to>
    <xdr:sp macro="" textlink="">
      <xdr:nvSpPr>
        <xdr:cNvPr id="120" name="直方体 119"/>
        <xdr:cNvSpPr/>
      </xdr:nvSpPr>
      <xdr:spPr>
        <a:xfrm flipH="1">
          <a:off x="3081047" y="17054952"/>
          <a:ext cx="382985" cy="6753567"/>
        </a:xfrm>
        <a:prstGeom prst="cube">
          <a:avLst>
            <a:gd name="adj" fmla="val 24118"/>
          </a:avLst>
        </a:prstGeom>
        <a:solidFill>
          <a:schemeClr val="accent6">
            <a:lumMod val="5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165228</xdr:colOff>
      <xdr:row>81</xdr:row>
      <xdr:rowOff>233265</xdr:rowOff>
    </xdr:from>
    <xdr:to>
      <xdr:col>3</xdr:col>
      <xdr:colOff>124060</xdr:colOff>
      <xdr:row>116</xdr:row>
      <xdr:rowOff>125870</xdr:rowOff>
    </xdr:to>
    <xdr:sp macro="" textlink="">
      <xdr:nvSpPr>
        <xdr:cNvPr id="124" name="直方体 123"/>
        <xdr:cNvSpPr/>
      </xdr:nvSpPr>
      <xdr:spPr>
        <a:xfrm flipH="1">
          <a:off x="981657" y="17028367"/>
          <a:ext cx="367046" cy="6783651"/>
        </a:xfrm>
        <a:prstGeom prst="cube">
          <a:avLst>
            <a:gd name="adj" fmla="val 24118"/>
          </a:avLst>
        </a:prstGeom>
        <a:solidFill>
          <a:schemeClr val="accent6">
            <a:lumMod val="5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165618</xdr:colOff>
      <xdr:row>81</xdr:row>
      <xdr:rowOff>231080</xdr:rowOff>
    </xdr:from>
    <xdr:to>
      <xdr:col>4</xdr:col>
      <xdr:colOff>140389</xdr:colOff>
      <xdr:row>116</xdr:row>
      <xdr:rowOff>93602</xdr:rowOff>
    </xdr:to>
    <xdr:sp macro="" textlink="">
      <xdr:nvSpPr>
        <xdr:cNvPr id="125" name="直方体 124"/>
        <xdr:cNvSpPr/>
      </xdr:nvSpPr>
      <xdr:spPr>
        <a:xfrm flipH="1">
          <a:off x="1390261" y="17026182"/>
          <a:ext cx="382985" cy="6753568"/>
        </a:xfrm>
        <a:prstGeom prst="cube">
          <a:avLst>
            <a:gd name="adj" fmla="val 24118"/>
          </a:avLst>
        </a:prstGeom>
        <a:solidFill>
          <a:schemeClr val="accent6">
            <a:lumMod val="5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181947</xdr:colOff>
      <xdr:row>81</xdr:row>
      <xdr:rowOff>247409</xdr:rowOff>
    </xdr:from>
    <xdr:to>
      <xdr:col>5</xdr:col>
      <xdr:colOff>156718</xdr:colOff>
      <xdr:row>116</xdr:row>
      <xdr:rowOff>109931</xdr:rowOff>
    </xdr:to>
    <xdr:sp macro="" textlink="">
      <xdr:nvSpPr>
        <xdr:cNvPr id="126" name="直方体 125"/>
        <xdr:cNvSpPr/>
      </xdr:nvSpPr>
      <xdr:spPr>
        <a:xfrm flipH="1">
          <a:off x="1814804" y="17042511"/>
          <a:ext cx="382985" cy="6753568"/>
        </a:xfrm>
        <a:prstGeom prst="cube">
          <a:avLst>
            <a:gd name="adj" fmla="val 24118"/>
          </a:avLst>
        </a:prstGeom>
        <a:solidFill>
          <a:schemeClr val="accent6">
            <a:lumMod val="5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207994</xdr:colOff>
      <xdr:row>81</xdr:row>
      <xdr:rowOff>244298</xdr:rowOff>
    </xdr:from>
    <xdr:to>
      <xdr:col>6</xdr:col>
      <xdr:colOff>182764</xdr:colOff>
      <xdr:row>116</xdr:row>
      <xdr:rowOff>106820</xdr:rowOff>
    </xdr:to>
    <xdr:sp macro="" textlink="">
      <xdr:nvSpPr>
        <xdr:cNvPr id="127" name="直方体 126"/>
        <xdr:cNvSpPr/>
      </xdr:nvSpPr>
      <xdr:spPr>
        <a:xfrm flipH="1">
          <a:off x="2249065" y="17039400"/>
          <a:ext cx="382985" cy="6753568"/>
        </a:xfrm>
        <a:prstGeom prst="cube">
          <a:avLst>
            <a:gd name="adj" fmla="val 24118"/>
          </a:avLst>
        </a:prstGeom>
        <a:solidFill>
          <a:schemeClr val="accent6">
            <a:lumMod val="5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330458</xdr:colOff>
      <xdr:row>79</xdr:row>
      <xdr:rowOff>250129</xdr:rowOff>
    </xdr:from>
    <xdr:to>
      <xdr:col>9</xdr:col>
      <xdr:colOff>388775</xdr:colOff>
      <xdr:row>81</xdr:row>
      <xdr:rowOff>194191</xdr:rowOff>
    </xdr:to>
    <xdr:sp macro="" textlink="">
      <xdr:nvSpPr>
        <xdr:cNvPr id="128" name="テキスト ボックス 127"/>
        <xdr:cNvSpPr txBox="1"/>
      </xdr:nvSpPr>
      <xdr:spPr>
        <a:xfrm>
          <a:off x="1555101" y="16462068"/>
          <a:ext cx="2488164" cy="52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縦 ： 正面</a:t>
          </a:r>
          <a:r>
            <a:rPr kumimoji="1" lang="en-US" altLang="ja-JP" sz="1000" b="1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40</a:t>
          </a:r>
          <a:r>
            <a:rPr kumimoji="1" lang="ja-JP" altLang="en-US" sz="1000" b="1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ｍｍ</a:t>
          </a:r>
          <a:r>
            <a:rPr kumimoji="1" lang="en-US" altLang="ja-JP" sz="1000" b="1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×</a:t>
          </a:r>
          <a:r>
            <a:rPr kumimoji="1" lang="ja-JP" altLang="en-US" sz="1000" b="1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奥行</a:t>
          </a:r>
          <a:r>
            <a:rPr kumimoji="1" lang="en-US" altLang="ja-JP" sz="1000" b="1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30</a:t>
          </a:r>
          <a:r>
            <a:rPr kumimoji="1" lang="ja-JP" altLang="en-US" sz="1000" b="1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ｍｍ</a:t>
          </a:r>
          <a:endParaRPr kumimoji="1" lang="en-US" altLang="ja-JP" sz="1000" b="1"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</xdr:txBody>
    </xdr:sp>
    <xdr:clientData/>
  </xdr:twoCellAnchor>
  <xdr:twoCellAnchor>
    <xdr:from>
      <xdr:col>8</xdr:col>
      <xdr:colOff>262423</xdr:colOff>
      <xdr:row>81</xdr:row>
      <xdr:rowOff>252704</xdr:rowOff>
    </xdr:from>
    <xdr:to>
      <xdr:col>8</xdr:col>
      <xdr:colOff>320740</xdr:colOff>
      <xdr:row>82</xdr:row>
      <xdr:rowOff>48597</xdr:rowOff>
    </xdr:to>
    <xdr:cxnSp macro="">
      <xdr:nvCxnSpPr>
        <xdr:cNvPr id="113" name="直線コネクタ 112"/>
        <xdr:cNvCxnSpPr/>
      </xdr:nvCxnSpPr>
      <xdr:spPr>
        <a:xfrm>
          <a:off x="3518418" y="17047806"/>
          <a:ext cx="58317" cy="87475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184669</xdr:colOff>
      <xdr:row>81</xdr:row>
      <xdr:rowOff>242985</xdr:rowOff>
    </xdr:from>
    <xdr:to>
      <xdr:col>8</xdr:col>
      <xdr:colOff>320740</xdr:colOff>
      <xdr:row>81</xdr:row>
      <xdr:rowOff>242985</xdr:rowOff>
    </xdr:to>
    <xdr:cxnSp macro="">
      <xdr:nvCxnSpPr>
        <xdr:cNvPr id="130" name="直線コネクタ 129"/>
        <xdr:cNvCxnSpPr/>
      </xdr:nvCxnSpPr>
      <xdr:spPr>
        <a:xfrm>
          <a:off x="3440664" y="17038087"/>
          <a:ext cx="13607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230156</xdr:colOff>
      <xdr:row>82</xdr:row>
      <xdr:rowOff>45487</xdr:rowOff>
    </xdr:from>
    <xdr:to>
      <xdr:col>8</xdr:col>
      <xdr:colOff>379056</xdr:colOff>
      <xdr:row>82</xdr:row>
      <xdr:rowOff>48597</xdr:rowOff>
    </xdr:to>
    <xdr:cxnSp macro="">
      <xdr:nvCxnSpPr>
        <xdr:cNvPr id="131" name="直線コネクタ 130"/>
        <xdr:cNvCxnSpPr/>
      </xdr:nvCxnSpPr>
      <xdr:spPr>
        <a:xfrm>
          <a:off x="3486151" y="17132171"/>
          <a:ext cx="148900" cy="311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311021</xdr:colOff>
      <xdr:row>81</xdr:row>
      <xdr:rowOff>145791</xdr:rowOff>
    </xdr:from>
    <xdr:to>
      <xdr:col>9</xdr:col>
      <xdr:colOff>330460</xdr:colOff>
      <xdr:row>82</xdr:row>
      <xdr:rowOff>97194</xdr:rowOff>
    </xdr:to>
    <xdr:sp macro="" textlink="">
      <xdr:nvSpPr>
        <xdr:cNvPr id="139" name="テキスト ボックス 138"/>
        <xdr:cNvSpPr txBox="1"/>
      </xdr:nvSpPr>
      <xdr:spPr>
        <a:xfrm>
          <a:off x="3567016" y="16940893"/>
          <a:ext cx="417934" cy="242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30</a:t>
          </a:r>
          <a:endParaRPr kumimoji="1" lang="ja-JP" altLang="en-US" sz="1100"/>
        </a:p>
      </xdr:txBody>
    </xdr:sp>
    <xdr:clientData/>
  </xdr:twoCellAnchor>
  <xdr:twoCellAnchor>
    <xdr:from>
      <xdr:col>7</xdr:col>
      <xdr:colOff>298191</xdr:colOff>
      <xdr:row>82</xdr:row>
      <xdr:rowOff>55207</xdr:rowOff>
    </xdr:from>
    <xdr:to>
      <xdr:col>8</xdr:col>
      <xdr:colOff>317630</xdr:colOff>
      <xdr:row>83</xdr:row>
      <xdr:rowOff>6611</xdr:rowOff>
    </xdr:to>
    <xdr:sp macro="" textlink="">
      <xdr:nvSpPr>
        <xdr:cNvPr id="140" name="テキスト ボックス 139"/>
        <xdr:cNvSpPr txBox="1"/>
      </xdr:nvSpPr>
      <xdr:spPr>
        <a:xfrm>
          <a:off x="3155691" y="17141891"/>
          <a:ext cx="417934" cy="242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40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22"/>
  <sheetViews>
    <sheetView showGridLines="0" tabSelected="1" zoomScale="98" zoomScaleNormal="98" workbookViewId="0">
      <selection activeCell="N84" sqref="N84"/>
    </sheetView>
  </sheetViews>
  <sheetFormatPr defaultRowHeight="14.25" x14ac:dyDescent="0.2"/>
  <cols>
    <col min="1" max="7" width="5.375" style="2" customWidth="1"/>
    <col min="8" max="11" width="5.25" style="2" customWidth="1"/>
    <col min="12" max="12" width="17.625" style="2" customWidth="1"/>
    <col min="13" max="13" width="3" style="2" customWidth="1"/>
    <col min="14" max="14" width="9" style="2"/>
    <col min="15" max="15" width="6.5" style="2" customWidth="1"/>
    <col min="16" max="16" width="9" style="2"/>
    <col min="17" max="17" width="14.5" style="2" customWidth="1"/>
    <col min="18" max="16384" width="9" style="2"/>
  </cols>
  <sheetData>
    <row r="1" spans="1:18" ht="22.5" customHeight="1" x14ac:dyDescent="0.2"/>
    <row r="2" spans="1:18" ht="22.5" customHeight="1" x14ac:dyDescent="0.3">
      <c r="A2" s="162" t="s">
        <v>122</v>
      </c>
      <c r="J2" s="178" t="s">
        <v>133</v>
      </c>
      <c r="K2" s="178"/>
      <c r="L2" s="178"/>
      <c r="M2" s="178"/>
      <c r="N2" s="178"/>
      <c r="O2" s="178"/>
      <c r="P2" s="178"/>
      <c r="Q2" s="178"/>
      <c r="R2" s="178"/>
    </row>
    <row r="3" spans="1:18" ht="18" customHeight="1" x14ac:dyDescent="0.2"/>
    <row r="4" spans="1:18" ht="24" customHeight="1" x14ac:dyDescent="0.2">
      <c r="B4" s="4"/>
    </row>
    <row r="5" spans="1:18" ht="33" customHeight="1" thickBot="1" x14ac:dyDescent="0.25">
      <c r="L5" s="146" t="s">
        <v>134</v>
      </c>
    </row>
    <row r="6" spans="1:18" ht="24" customHeight="1" thickBot="1" x14ac:dyDescent="0.25">
      <c r="L6" s="5" t="s">
        <v>7</v>
      </c>
      <c r="M6" s="5"/>
      <c r="N6" s="165">
        <v>0</v>
      </c>
      <c r="O6" s="5" t="s">
        <v>8</v>
      </c>
      <c r="P6" s="2" t="s">
        <v>116</v>
      </c>
    </row>
    <row r="7" spans="1:18" ht="24" customHeight="1" thickBot="1" x14ac:dyDescent="0.25">
      <c r="L7" s="6" t="s">
        <v>9</v>
      </c>
      <c r="M7" s="6"/>
      <c r="N7" s="165">
        <v>0</v>
      </c>
      <c r="O7" s="6" t="s">
        <v>10</v>
      </c>
    </row>
    <row r="8" spans="1:18" ht="24" customHeight="1" thickBot="1" x14ac:dyDescent="0.25">
      <c r="L8" s="6" t="s">
        <v>11</v>
      </c>
      <c r="M8" s="6"/>
      <c r="N8" s="165">
        <v>0</v>
      </c>
      <c r="O8" s="6" t="s">
        <v>12</v>
      </c>
    </row>
    <row r="9" spans="1:18" ht="24" customHeight="1" thickBot="1" x14ac:dyDescent="0.25">
      <c r="L9" s="6" t="s">
        <v>13</v>
      </c>
      <c r="M9" s="6"/>
      <c r="N9" s="165">
        <v>0</v>
      </c>
      <c r="O9" s="6" t="s">
        <v>10</v>
      </c>
    </row>
    <row r="14" spans="1:18" x14ac:dyDescent="0.2">
      <c r="A14" s="1"/>
    </row>
    <row r="15" spans="1:18" x14ac:dyDescent="0.2">
      <c r="A15" s="176"/>
      <c r="B15" s="176"/>
    </row>
    <row r="19" spans="12:14" x14ac:dyDescent="0.2">
      <c r="N19" s="7"/>
    </row>
    <row r="25" spans="12:14" x14ac:dyDescent="0.2">
      <c r="N25" s="9"/>
    </row>
    <row r="27" spans="12:14" x14ac:dyDescent="0.2">
      <c r="L27" s="7" t="s">
        <v>14</v>
      </c>
    </row>
    <row r="28" spans="12:14" x14ac:dyDescent="0.2">
      <c r="L28" s="8" t="s">
        <v>15</v>
      </c>
      <c r="M28" s="7" t="s">
        <v>16</v>
      </c>
    </row>
    <row r="29" spans="12:14" x14ac:dyDescent="0.2">
      <c r="L29" s="8" t="s">
        <v>17</v>
      </c>
      <c r="M29" s="7" t="s">
        <v>18</v>
      </c>
    </row>
    <row r="30" spans="12:14" ht="20.25" customHeight="1" x14ac:dyDescent="0.2">
      <c r="L30" s="8" t="s">
        <v>19</v>
      </c>
      <c r="M30" s="7" t="s">
        <v>20</v>
      </c>
    </row>
    <row r="31" spans="12:14" ht="22.5" customHeight="1" x14ac:dyDescent="0.2">
      <c r="L31" s="8" t="s">
        <v>21</v>
      </c>
      <c r="M31" s="7" t="s">
        <v>22</v>
      </c>
      <c r="N31" s="7"/>
    </row>
    <row r="35" spans="5:16" x14ac:dyDescent="0.2">
      <c r="F35" s="1"/>
      <c r="G35" s="1"/>
      <c r="H35" s="1"/>
      <c r="I35" s="1"/>
      <c r="J35" s="1"/>
    </row>
    <row r="36" spans="5:16" x14ac:dyDescent="0.2">
      <c r="F36" s="1"/>
      <c r="G36" s="1"/>
      <c r="H36" s="1"/>
      <c r="I36" s="1"/>
      <c r="J36" s="1"/>
    </row>
    <row r="37" spans="5:16" ht="8.25" customHeight="1" x14ac:dyDescent="0.2"/>
    <row r="42" spans="5:16" ht="15" customHeight="1" x14ac:dyDescent="0.2">
      <c r="E42" s="10"/>
      <c r="F42" s="11"/>
      <c r="I42" s="177"/>
      <c r="J42" s="177"/>
      <c r="K42" s="177"/>
    </row>
    <row r="43" spans="5:16" ht="24" customHeight="1" thickBot="1" x14ac:dyDescent="0.25">
      <c r="L43" s="146" t="s">
        <v>135</v>
      </c>
    </row>
    <row r="44" spans="5:16" ht="24" customHeight="1" thickBot="1" x14ac:dyDescent="0.25">
      <c r="L44" s="5" t="s">
        <v>7</v>
      </c>
      <c r="M44" s="5"/>
      <c r="N44" s="166">
        <v>0</v>
      </c>
      <c r="O44" s="5" t="s">
        <v>23</v>
      </c>
      <c r="P44" s="2" t="s">
        <v>116</v>
      </c>
    </row>
    <row r="45" spans="5:16" ht="24" customHeight="1" thickBot="1" x14ac:dyDescent="0.25">
      <c r="L45" s="6" t="s">
        <v>9</v>
      </c>
      <c r="M45" s="6"/>
      <c r="N45" s="167">
        <v>0</v>
      </c>
      <c r="O45" s="6" t="s">
        <v>24</v>
      </c>
    </row>
    <row r="46" spans="5:16" ht="24" customHeight="1" thickBot="1" x14ac:dyDescent="0.25">
      <c r="L46" s="6" t="s">
        <v>11</v>
      </c>
      <c r="M46" s="6"/>
      <c r="N46" s="168">
        <v>0</v>
      </c>
      <c r="O46" s="6" t="s">
        <v>8</v>
      </c>
    </row>
    <row r="53" spans="1:14" x14ac:dyDescent="0.2">
      <c r="A53" s="161"/>
    </row>
    <row r="54" spans="1:14" x14ac:dyDescent="0.2">
      <c r="A54" s="161"/>
    </row>
    <row r="57" spans="1:14" x14ac:dyDescent="0.2">
      <c r="L57" s="7" t="s">
        <v>14</v>
      </c>
      <c r="M57" s="7"/>
      <c r="N57" s="7"/>
    </row>
    <row r="58" spans="1:14" x14ac:dyDescent="0.2">
      <c r="L58" s="8" t="s">
        <v>15</v>
      </c>
      <c r="M58" s="7" t="s">
        <v>16</v>
      </c>
      <c r="N58" s="7"/>
    </row>
    <row r="59" spans="1:14" x14ac:dyDescent="0.2">
      <c r="L59" s="8" t="s">
        <v>17</v>
      </c>
      <c r="M59" s="7" t="s">
        <v>18</v>
      </c>
      <c r="N59" s="7"/>
    </row>
    <row r="60" spans="1:14" x14ac:dyDescent="0.2">
      <c r="L60" s="8" t="s">
        <v>19</v>
      </c>
      <c r="M60" s="7" t="s">
        <v>20</v>
      </c>
      <c r="N60" s="7"/>
    </row>
    <row r="61" spans="1:14" x14ac:dyDescent="0.2">
      <c r="L61" s="8" t="s">
        <v>21</v>
      </c>
      <c r="M61" s="7" t="s">
        <v>22</v>
      </c>
      <c r="N61" s="7"/>
    </row>
    <row r="80" spans="5:11" ht="23.25" customHeight="1" x14ac:dyDescent="0.2">
      <c r="E80" s="3"/>
      <c r="F80" s="1"/>
      <c r="I80" s="176"/>
      <c r="J80" s="176"/>
      <c r="K80" s="176"/>
    </row>
    <row r="81" spans="1:16" ht="23.25" customHeight="1" thickBot="1" x14ac:dyDescent="0.25">
      <c r="E81" s="3"/>
      <c r="F81" s="1"/>
      <c r="L81" s="146" t="s">
        <v>136</v>
      </c>
    </row>
    <row r="82" spans="1:16" ht="23.25" customHeight="1" thickBot="1" x14ac:dyDescent="0.25">
      <c r="L82" s="5" t="s">
        <v>7</v>
      </c>
      <c r="M82" s="5"/>
      <c r="N82" s="167">
        <v>0</v>
      </c>
      <c r="O82" s="5" t="s">
        <v>23</v>
      </c>
      <c r="P82" s="2" t="s">
        <v>121</v>
      </c>
    </row>
    <row r="83" spans="1:16" ht="23.25" customHeight="1" thickBot="1" x14ac:dyDescent="0.25">
      <c r="L83" s="6" t="s">
        <v>9</v>
      </c>
      <c r="M83" s="6"/>
      <c r="N83" s="167">
        <v>0</v>
      </c>
      <c r="O83" s="6" t="s">
        <v>8</v>
      </c>
    </row>
    <row r="84" spans="1:16" ht="23.25" customHeight="1" thickBot="1" x14ac:dyDescent="0.25">
      <c r="L84" s="6" t="s">
        <v>11</v>
      </c>
      <c r="M84" s="6"/>
      <c r="N84" s="167">
        <v>0</v>
      </c>
      <c r="O84" s="6" t="s">
        <v>12</v>
      </c>
    </row>
    <row r="85" spans="1:16" ht="23.25" customHeight="1" x14ac:dyDescent="0.2"/>
    <row r="91" spans="1:16" x14ac:dyDescent="0.2">
      <c r="A91" s="161"/>
    </row>
    <row r="92" spans="1:16" x14ac:dyDescent="0.2">
      <c r="A92" s="161"/>
    </row>
    <row r="104" spans="12:14" x14ac:dyDescent="0.2">
      <c r="L104" s="7" t="s">
        <v>14</v>
      </c>
      <c r="M104" s="7"/>
      <c r="N104" s="7"/>
    </row>
    <row r="105" spans="12:14" x14ac:dyDescent="0.2">
      <c r="L105" s="8" t="s">
        <v>15</v>
      </c>
      <c r="M105" s="7" t="s">
        <v>16</v>
      </c>
      <c r="N105" s="7"/>
    </row>
    <row r="106" spans="12:14" x14ac:dyDescent="0.2">
      <c r="L106" s="8" t="s">
        <v>17</v>
      </c>
      <c r="M106" s="7" t="s">
        <v>18</v>
      </c>
      <c r="N106" s="7"/>
    </row>
    <row r="107" spans="12:14" x14ac:dyDescent="0.2">
      <c r="L107" s="8" t="s">
        <v>19</v>
      </c>
      <c r="M107" s="7" t="s">
        <v>20</v>
      </c>
      <c r="N107" s="7"/>
    </row>
    <row r="108" spans="12:14" x14ac:dyDescent="0.2">
      <c r="L108" s="8" t="s">
        <v>21</v>
      </c>
      <c r="M108" s="7" t="s">
        <v>22</v>
      </c>
      <c r="N108" s="7"/>
    </row>
    <row r="119" spans="11:11" x14ac:dyDescent="0.2">
      <c r="K119" s="1"/>
    </row>
    <row r="120" spans="11:11" x14ac:dyDescent="0.2">
      <c r="K120" s="1"/>
    </row>
    <row r="121" spans="11:11" x14ac:dyDescent="0.2">
      <c r="K121" s="1"/>
    </row>
    <row r="122" spans="11:11" x14ac:dyDescent="0.2">
      <c r="K122" s="1"/>
    </row>
  </sheetData>
  <sheetProtection algorithmName="SHA-512" hashValue="ahfJFcbHr2T7Pxqd5Cg3bob5SvP1k4uiS/i0x7mnwa88c7aAfT1usbk9x3K5SqfPdE3ymLMeT5HklJzr1D3/4w==" saltValue="PUdyF4DPWg2svnCJuZ878g==" spinCount="100000" sheet="1" objects="1" scenarios="1" selectLockedCells="1"/>
  <mergeCells count="4">
    <mergeCell ref="A15:B15"/>
    <mergeCell ref="I42:K42"/>
    <mergeCell ref="I80:K80"/>
    <mergeCell ref="J2:R2"/>
  </mergeCells>
  <phoneticPr fontId="1"/>
  <pageMargins left="0.44" right="0.7" top="0.75" bottom="0.81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3"/>
  <sheetViews>
    <sheetView showGridLines="0" topLeftCell="A49" workbookViewId="0">
      <selection activeCell="H44" sqref="H44"/>
    </sheetView>
  </sheetViews>
  <sheetFormatPr defaultRowHeight="11.25" x14ac:dyDescent="0.15"/>
  <cols>
    <col min="1" max="1" width="20.75" style="29" customWidth="1"/>
    <col min="2" max="2" width="13" style="29" customWidth="1"/>
    <col min="3" max="3" width="14.25" style="29" customWidth="1"/>
    <col min="4" max="4" width="9.5" style="29" customWidth="1"/>
    <col min="5" max="5" width="10.125" style="29" customWidth="1"/>
    <col min="6" max="6" width="8.5" style="29" customWidth="1"/>
    <col min="7" max="7" width="16" style="29" customWidth="1"/>
    <col min="8" max="8" width="4.75" style="29" customWidth="1"/>
    <col min="9" max="9" width="6" style="29" customWidth="1"/>
    <col min="10" max="10" width="7.5" style="29" bestFit="1" customWidth="1"/>
    <col min="11" max="11" width="10.25" style="29" customWidth="1"/>
    <col min="12" max="12" width="9.5" style="29" bestFit="1" customWidth="1"/>
    <col min="13" max="13" width="9" style="29"/>
    <col min="14" max="14" width="9" style="30"/>
    <col min="15" max="15" width="11.5" style="30" customWidth="1"/>
    <col min="16" max="17" width="9" style="30"/>
    <col min="18" max="18" width="9.625" style="30" customWidth="1"/>
    <col min="19" max="16384" width="9" style="30"/>
  </cols>
  <sheetData>
    <row r="1" spans="1:24" ht="12" thickBot="1" x14ac:dyDescent="0.2"/>
    <row r="2" spans="1:24" s="29" customFormat="1" ht="12" thickBot="1" x14ac:dyDescent="0.2">
      <c r="A2" s="31" t="s">
        <v>57</v>
      </c>
      <c r="B2" s="12" t="s">
        <v>32</v>
      </c>
      <c r="C2" s="12"/>
      <c r="D2" s="12" t="s">
        <v>34</v>
      </c>
      <c r="E2" s="12" t="s">
        <v>33</v>
      </c>
      <c r="F2" s="32"/>
      <c r="G2" s="33" t="s">
        <v>102</v>
      </c>
      <c r="H2" s="34"/>
      <c r="I2" s="35" t="s">
        <v>52</v>
      </c>
      <c r="J2" s="35" t="s">
        <v>35</v>
      </c>
      <c r="K2" s="36" t="s">
        <v>50</v>
      </c>
      <c r="L2" s="37"/>
      <c r="M2" s="37"/>
      <c r="N2" s="38"/>
      <c r="O2" s="38" t="s">
        <v>38</v>
      </c>
      <c r="P2" s="38" t="s">
        <v>35</v>
      </c>
      <c r="R2" s="29" t="s">
        <v>132</v>
      </c>
      <c r="S2" s="173">
        <f>B3</f>
        <v>0</v>
      </c>
    </row>
    <row r="3" spans="1:24" s="29" customFormat="1" ht="33.75" x14ac:dyDescent="0.15">
      <c r="A3" s="39" t="s">
        <v>0</v>
      </c>
      <c r="B3" s="40">
        <f>IF(簡単見積依頼!N6="",0,簡単見積依頼!N6)</f>
        <v>0</v>
      </c>
      <c r="C3" s="13" t="s">
        <v>26</v>
      </c>
      <c r="D3" s="39">
        <f>IFERROR(E3-B3,0)</f>
        <v>0</v>
      </c>
      <c r="E3" s="41">
        <f>IFERROR(IF(B3=0,0,IF(B3&lt;=2000,B3+400,B3+500)),0)</f>
        <v>0</v>
      </c>
      <c r="F3" s="42"/>
      <c r="G3" s="43" t="s">
        <v>107</v>
      </c>
      <c r="H3" s="44" t="str">
        <f>IFERROR(IF(E3=0,"",IF(E3&gt;=2826,"計算不可",IF(E3&lt;=1120,O6,IF(C3&lt;=1410,O5,IF(C3&lt;=1883,O4,O3))))),"")</f>
        <v/>
      </c>
      <c r="I3" s="39">
        <f>IFERROR(IF(J3="","",D4),"")</f>
        <v>0</v>
      </c>
      <c r="J3" s="45">
        <f>IFERROR(IF(E3&gt;=2826,"",IF(E3&lt;=1120,P6,IF(E3&lt;=1410,P5,IF(E3&lt;=1883,P4,P3)))),"")</f>
        <v>5260</v>
      </c>
      <c r="K3" s="46">
        <f t="shared" ref="K3:K8" si="0">IFERROR(I3*J3,"")</f>
        <v>0</v>
      </c>
      <c r="L3" s="37"/>
      <c r="M3" s="37"/>
      <c r="N3" s="47" t="s">
        <v>69</v>
      </c>
      <c r="O3" s="38" t="s">
        <v>84</v>
      </c>
      <c r="P3" s="38">
        <v>11869</v>
      </c>
      <c r="R3" s="29" t="s">
        <v>127</v>
      </c>
      <c r="S3" s="29">
        <v>100</v>
      </c>
      <c r="T3" s="29" t="s">
        <v>124</v>
      </c>
      <c r="U3" s="29">
        <f>D5</f>
        <v>0</v>
      </c>
      <c r="V3" s="29" t="s">
        <v>129</v>
      </c>
      <c r="W3" s="29" t="s">
        <v>126</v>
      </c>
      <c r="X3" s="173">
        <f>S3*U3</f>
        <v>0</v>
      </c>
    </row>
    <row r="4" spans="1:24" s="29" customFormat="1" ht="33.75" x14ac:dyDescent="0.15">
      <c r="A4" s="38" t="s">
        <v>1</v>
      </c>
      <c r="B4" s="40">
        <f>IF(簡単見積依頼!N7="",0,簡単見積依頼!N7)</f>
        <v>0</v>
      </c>
      <c r="C4" s="14" t="s">
        <v>27</v>
      </c>
      <c r="D4" s="38">
        <f>IFERROR(IF(B3=0,0,IF(B3&lt;=1200,ROUNDUP(B4/2000,0)+1,ROUNDUP(B4/1000,0)+1)),0)</f>
        <v>0</v>
      </c>
      <c r="E4" s="38"/>
      <c r="F4" s="21"/>
      <c r="G4" s="48" t="s">
        <v>108</v>
      </c>
      <c r="H4" s="49" t="s">
        <v>43</v>
      </c>
      <c r="I4" s="14">
        <f>IFERROR(IF(J3="","",E9),"")</f>
        <v>0</v>
      </c>
      <c r="J4" s="50">
        <f>P7</f>
        <v>3704</v>
      </c>
      <c r="K4" s="51">
        <f t="shared" si="0"/>
        <v>0</v>
      </c>
      <c r="L4" s="37"/>
      <c r="M4" s="37"/>
      <c r="N4" s="52"/>
      <c r="O4" s="38" t="s">
        <v>85</v>
      </c>
      <c r="P4" s="38">
        <v>8089</v>
      </c>
      <c r="R4" s="29" t="s">
        <v>128</v>
      </c>
      <c r="S4" s="29">
        <f>B5</f>
        <v>0</v>
      </c>
      <c r="T4" s="29" t="s">
        <v>125</v>
      </c>
      <c r="U4" s="29">
        <f>D6</f>
        <v>0</v>
      </c>
      <c r="V4" s="29" t="s">
        <v>130</v>
      </c>
      <c r="W4" s="29" t="s">
        <v>126</v>
      </c>
      <c r="X4" s="173">
        <f>S4*U4</f>
        <v>0</v>
      </c>
    </row>
    <row r="5" spans="1:24" s="29" customFormat="1" ht="45" x14ac:dyDescent="0.15">
      <c r="A5" s="38" t="s">
        <v>3</v>
      </c>
      <c r="B5" s="40">
        <f>IF(簡単見積依頼!N8="",0,簡単見積依頼!N8)</f>
        <v>0</v>
      </c>
      <c r="C5" s="14" t="s">
        <v>28</v>
      </c>
      <c r="D5" s="38">
        <f>IFERROR(ROUNDDOWN((B3-B6+B5)/(100+B5),0),0)</f>
        <v>0</v>
      </c>
      <c r="E5" s="38"/>
      <c r="F5" s="53"/>
      <c r="G5" s="54" t="s">
        <v>108</v>
      </c>
      <c r="H5" s="55" t="s">
        <v>82</v>
      </c>
      <c r="I5" s="38">
        <f>IFERROR(IF(J3="","",E12),"")</f>
        <v>0</v>
      </c>
      <c r="J5" s="50">
        <f>IFERROR(P8,"")</f>
        <v>1890</v>
      </c>
      <c r="K5" s="51">
        <f t="shared" si="0"/>
        <v>0</v>
      </c>
      <c r="L5" s="37"/>
      <c r="M5" s="37"/>
      <c r="N5" s="52"/>
      <c r="O5" s="38" t="s">
        <v>137</v>
      </c>
      <c r="P5" s="38">
        <v>6394</v>
      </c>
    </row>
    <row r="6" spans="1:24" s="29" customFormat="1" ht="22.5" x14ac:dyDescent="0.15">
      <c r="A6" s="38" t="s">
        <v>2</v>
      </c>
      <c r="B6" s="40">
        <f>IF(簡単見積依頼!N9="",0,簡単見積依頼!N9)</f>
        <v>0</v>
      </c>
      <c r="C6" s="14" t="s">
        <v>29</v>
      </c>
      <c r="D6" s="38">
        <f>IF(D5=0,0,D5-1)</f>
        <v>0</v>
      </c>
      <c r="E6" s="38"/>
      <c r="F6" s="53"/>
      <c r="G6" s="54" t="s">
        <v>109</v>
      </c>
      <c r="H6" s="56"/>
      <c r="I6" s="38">
        <f>IFERROR(IF(J3="","",D7),"")</f>
        <v>0</v>
      </c>
      <c r="J6" s="50">
        <f>P9</f>
        <v>346</v>
      </c>
      <c r="K6" s="51">
        <f t="shared" si="0"/>
        <v>0</v>
      </c>
      <c r="L6" s="37"/>
      <c r="M6" s="37"/>
      <c r="N6" s="39"/>
      <c r="O6" s="38" t="s">
        <v>138</v>
      </c>
      <c r="P6" s="38">
        <v>5260</v>
      </c>
    </row>
    <row r="7" spans="1:24" s="29" customFormat="1" ht="22.5" x14ac:dyDescent="0.15">
      <c r="A7" s="38"/>
      <c r="B7" s="38"/>
      <c r="C7" s="14" t="s">
        <v>30</v>
      </c>
      <c r="D7" s="38">
        <f>D5*2</f>
        <v>0</v>
      </c>
      <c r="E7" s="38"/>
      <c r="F7" s="183" t="s">
        <v>48</v>
      </c>
      <c r="G7" s="54" t="s">
        <v>110</v>
      </c>
      <c r="H7" s="56"/>
      <c r="I7" s="38">
        <f>IFERROR(IF(J3="","",D13),"")</f>
        <v>0</v>
      </c>
      <c r="J7" s="50">
        <f>P10</f>
        <v>443</v>
      </c>
      <c r="K7" s="51">
        <f t="shared" si="0"/>
        <v>0</v>
      </c>
      <c r="L7" s="37"/>
      <c r="M7" s="37"/>
      <c r="N7" s="47" t="s">
        <v>37</v>
      </c>
      <c r="O7" s="38" t="s">
        <v>86</v>
      </c>
      <c r="P7" s="38">
        <v>3704</v>
      </c>
    </row>
    <row r="8" spans="1:24" s="29" customFormat="1" ht="57" thickBot="1" x14ac:dyDescent="0.2">
      <c r="A8" s="38" t="s">
        <v>56</v>
      </c>
      <c r="B8" s="57">
        <f>IFERROR(B3-(D5*100)-((D5-1)*B5),"")</f>
        <v>0</v>
      </c>
      <c r="C8" s="14"/>
      <c r="D8" s="38"/>
      <c r="E8" s="14" t="s">
        <v>49</v>
      </c>
      <c r="F8" s="184"/>
      <c r="G8" s="58" t="s">
        <v>41</v>
      </c>
      <c r="H8" s="59"/>
      <c r="I8" s="22">
        <f>IFERROR(IF(J3="","",F15),"")</f>
        <v>0</v>
      </c>
      <c r="J8" s="60">
        <f>P11</f>
        <v>1512</v>
      </c>
      <c r="K8" s="61">
        <f t="shared" si="0"/>
        <v>0</v>
      </c>
      <c r="L8" s="37"/>
      <c r="M8" s="37"/>
      <c r="N8" s="39"/>
      <c r="O8" s="38" t="s">
        <v>82</v>
      </c>
      <c r="P8" s="38">
        <v>1890</v>
      </c>
    </row>
    <row r="9" spans="1:24" s="29" customFormat="1" ht="12" thickBot="1" x14ac:dyDescent="0.2">
      <c r="A9" s="38" t="s">
        <v>42</v>
      </c>
      <c r="B9" s="38" t="s">
        <v>43</v>
      </c>
      <c r="C9" s="14" t="s">
        <v>31</v>
      </c>
      <c r="D9" s="38">
        <f>IFERROR(INT(B4/2000),0)</f>
        <v>0</v>
      </c>
      <c r="E9" s="38">
        <f>IFERROR(D5*(D9+D11),0)</f>
        <v>0</v>
      </c>
      <c r="F9" s="53">
        <f>IF(B3&lt;=1200,E9*4,E9*6)</f>
        <v>0</v>
      </c>
      <c r="G9" s="62"/>
      <c r="H9" s="63"/>
      <c r="I9" s="64" t="s">
        <v>55</v>
      </c>
      <c r="J9" s="65"/>
      <c r="K9" s="66">
        <f>IFERROR(SUM(K3:K8),"")</f>
        <v>0</v>
      </c>
      <c r="L9" s="37"/>
      <c r="M9" s="37"/>
      <c r="N9" s="53" t="s">
        <v>39</v>
      </c>
      <c r="O9" s="67"/>
      <c r="P9" s="38">
        <v>346</v>
      </c>
    </row>
    <row r="10" spans="1:24" s="29" customFormat="1" x14ac:dyDescent="0.15">
      <c r="A10" s="38" t="s">
        <v>4</v>
      </c>
      <c r="B10" s="57"/>
      <c r="C10" s="14" t="s">
        <v>45</v>
      </c>
      <c r="D10" s="38">
        <f>IFERROR(B4-2000*D9,0)</f>
        <v>0</v>
      </c>
      <c r="E10" s="38"/>
      <c r="F10" s="38"/>
      <c r="G10" s="68"/>
      <c r="H10" s="68"/>
      <c r="I10" s="68"/>
      <c r="J10" s="37"/>
      <c r="K10" s="37"/>
      <c r="L10" s="37"/>
      <c r="M10" s="37"/>
      <c r="N10" s="53" t="s">
        <v>40</v>
      </c>
      <c r="O10" s="67"/>
      <c r="P10" s="38">
        <v>443</v>
      </c>
    </row>
    <row r="11" spans="1:24" s="29" customFormat="1" ht="22.5" x14ac:dyDescent="0.15">
      <c r="A11" s="38"/>
      <c r="B11" s="69" t="s">
        <v>43</v>
      </c>
      <c r="C11" s="14" t="s">
        <v>46</v>
      </c>
      <c r="D11" s="38">
        <f>IF(D10&gt;1000,1,0)</f>
        <v>0</v>
      </c>
      <c r="E11" s="38"/>
      <c r="F11" s="38"/>
      <c r="G11" s="68"/>
      <c r="H11" s="68"/>
      <c r="I11" s="68"/>
      <c r="J11" s="37"/>
      <c r="K11" s="37"/>
      <c r="L11" s="37"/>
      <c r="M11" s="37"/>
      <c r="N11" s="53" t="s">
        <v>41</v>
      </c>
      <c r="O11" s="67"/>
      <c r="P11" s="38">
        <v>1512</v>
      </c>
    </row>
    <row r="12" spans="1:24" s="29" customFormat="1" ht="22.5" x14ac:dyDescent="0.15">
      <c r="A12" s="38"/>
      <c r="B12" s="38" t="s">
        <v>44</v>
      </c>
      <c r="C12" s="14" t="s">
        <v>47</v>
      </c>
      <c r="D12" s="38">
        <f>IF(D10=0,0,IF(D10&lt;=1000,1,0))</f>
        <v>0</v>
      </c>
      <c r="E12" s="38">
        <f>D5*D12</f>
        <v>0</v>
      </c>
      <c r="F12" s="38">
        <f>D12*4</f>
        <v>0</v>
      </c>
      <c r="G12" s="68"/>
      <c r="H12" s="68"/>
      <c r="I12" s="68"/>
      <c r="J12" s="37"/>
      <c r="K12" s="37"/>
      <c r="L12" s="37"/>
      <c r="M12" s="37"/>
      <c r="N12" s="37"/>
      <c r="O12" s="37"/>
      <c r="P12" s="37"/>
      <c r="Q12" s="37"/>
    </row>
    <row r="13" spans="1:24" s="29" customFormat="1" ht="22.5" x14ac:dyDescent="0.15">
      <c r="A13" s="38" t="s">
        <v>53</v>
      </c>
      <c r="B13" s="38"/>
      <c r="C13" s="14" t="s">
        <v>54</v>
      </c>
      <c r="D13" s="38">
        <f>((D9+D11+D12)-1)*D5</f>
        <v>0</v>
      </c>
      <c r="E13" s="38"/>
      <c r="F13" s="38"/>
      <c r="G13" s="68"/>
      <c r="H13" s="68"/>
      <c r="I13" s="68"/>
      <c r="J13" s="37"/>
      <c r="K13" s="37"/>
      <c r="L13" s="37"/>
      <c r="M13" s="37"/>
      <c r="N13" s="37"/>
      <c r="O13" s="37"/>
      <c r="P13" s="37"/>
      <c r="Q13" s="37"/>
    </row>
    <row r="14" spans="1:24" s="29" customFormat="1" x14ac:dyDescent="0.15">
      <c r="A14" s="38"/>
      <c r="B14" s="38"/>
      <c r="C14" s="14"/>
      <c r="D14" s="38"/>
      <c r="E14" s="38" t="s">
        <v>6</v>
      </c>
      <c r="F14" s="38">
        <f>F9+F12</f>
        <v>0</v>
      </c>
      <c r="G14" s="68"/>
      <c r="H14" s="68"/>
      <c r="I14" s="68"/>
      <c r="J14" s="37"/>
      <c r="K14" s="37"/>
      <c r="L14" s="37"/>
      <c r="M14" s="37"/>
      <c r="N14" s="37"/>
      <c r="O14" s="37"/>
      <c r="P14" s="37"/>
      <c r="Q14" s="37"/>
    </row>
    <row r="15" spans="1:24" s="29" customFormat="1" x14ac:dyDescent="0.15">
      <c r="A15" s="38"/>
      <c r="B15" s="38"/>
      <c r="C15" s="14"/>
      <c r="D15" s="38"/>
      <c r="E15" s="38" t="s">
        <v>5</v>
      </c>
      <c r="F15" s="38">
        <f>ROUNDUP(F14/50,0)</f>
        <v>0</v>
      </c>
      <c r="G15" s="68"/>
      <c r="H15" s="68"/>
      <c r="I15" s="68"/>
      <c r="J15" s="37"/>
      <c r="K15" s="37"/>
      <c r="L15" s="37"/>
      <c r="M15" s="37"/>
      <c r="N15" s="37"/>
      <c r="O15" s="37"/>
      <c r="P15" s="37"/>
      <c r="Q15" s="37"/>
    </row>
    <row r="16" spans="1:24" s="70" customFormat="1" ht="12" thickBot="1" x14ac:dyDescent="0.2">
      <c r="A16" s="68"/>
      <c r="B16" s="68"/>
      <c r="C16" s="23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1:16" s="29" customFormat="1" ht="12" thickBot="1" x14ac:dyDescent="0.2">
      <c r="A17" s="31" t="s">
        <v>25</v>
      </c>
      <c r="B17" s="12" t="s">
        <v>32</v>
      </c>
      <c r="C17" s="12"/>
      <c r="D17" s="12" t="s">
        <v>34</v>
      </c>
      <c r="E17" s="12" t="s">
        <v>33</v>
      </c>
      <c r="F17" s="32"/>
      <c r="G17" s="33"/>
      <c r="H17" s="34"/>
      <c r="I17" s="12" t="s">
        <v>52</v>
      </c>
      <c r="J17" s="12" t="s">
        <v>35</v>
      </c>
      <c r="K17" s="71" t="s">
        <v>50</v>
      </c>
      <c r="L17" s="37"/>
      <c r="M17" s="37"/>
      <c r="N17" s="38"/>
      <c r="O17" s="38" t="s">
        <v>38</v>
      </c>
      <c r="P17" s="38" t="s">
        <v>35</v>
      </c>
    </row>
    <row r="18" spans="1:16" s="29" customFormat="1" ht="33.75" x14ac:dyDescent="0.15">
      <c r="A18" s="39" t="s">
        <v>0</v>
      </c>
      <c r="B18" s="40">
        <f>IF(簡単見積依頼!N6="",0,簡単見積依頼!N6)</f>
        <v>0</v>
      </c>
      <c r="C18" s="13" t="s">
        <v>26</v>
      </c>
      <c r="D18" s="39">
        <f>IFERROR(E18-B18,0)</f>
        <v>0</v>
      </c>
      <c r="E18" s="41">
        <f>IFERROR(IF(B3=0,0,IF(B18&lt;=2000,B18+400,B18+500)),0)</f>
        <v>0</v>
      </c>
      <c r="F18" s="42"/>
      <c r="G18" s="43" t="s">
        <v>111</v>
      </c>
      <c r="H18" s="72" t="str">
        <f>IFERROR(IF(E18=0,"",IF(E18&gt;=2826,"計算不可",IF(E18&lt;=1200,O22,IF(E18&lt;=1600,O21,IF(E18&lt;=1883,O20,IF(E18&lt;=2400,O19,O18)))))),"")</f>
        <v/>
      </c>
      <c r="I18" s="39">
        <f>IFERROR(IF(J18="","",D19),"")</f>
        <v>0</v>
      </c>
      <c r="J18" s="45">
        <f>IFERROR(IF(E18&gt;=2826,"",IF(E18&lt;=1200,P22,IF(E18&lt;=1600,P21,IF(E18&lt;=1883,P20,IF(E18&lt;=2400,P19,P18))))),"")</f>
        <v>4201</v>
      </c>
      <c r="K18" s="46">
        <f t="shared" ref="K18:K23" si="1">IFERROR(I18*J18,"")</f>
        <v>0</v>
      </c>
      <c r="L18" s="37"/>
      <c r="M18" s="37"/>
      <c r="N18" s="47" t="s">
        <v>36</v>
      </c>
      <c r="O18" s="38" t="s">
        <v>84</v>
      </c>
      <c r="P18" s="38">
        <v>8359</v>
      </c>
    </row>
    <row r="19" spans="1:16" s="29" customFormat="1" ht="33.75" x14ac:dyDescent="0.15">
      <c r="A19" s="38" t="s">
        <v>1</v>
      </c>
      <c r="B19" s="40">
        <f>IF(簡単見積依頼!N7="",0,簡単見積依頼!N7)</f>
        <v>0</v>
      </c>
      <c r="C19" s="14" t="s">
        <v>27</v>
      </c>
      <c r="D19" s="38">
        <f>IFERROR(IF(B18=0,0,IF(B18&lt;=1200,ROUNDUP(B19/2000,0)+1,ROUNDUP(B19/1000,0)+1)),0)</f>
        <v>0</v>
      </c>
      <c r="E19" s="38"/>
      <c r="F19" s="21"/>
      <c r="G19" s="48" t="s">
        <v>108</v>
      </c>
      <c r="H19" s="73" t="s">
        <v>43</v>
      </c>
      <c r="I19" s="14">
        <f>IFERROR(IF(J18="","",E24),E24)</f>
        <v>0</v>
      </c>
      <c r="J19" s="50">
        <f>P23</f>
        <v>3704</v>
      </c>
      <c r="K19" s="51">
        <f t="shared" si="1"/>
        <v>0</v>
      </c>
      <c r="L19" s="37"/>
      <c r="M19" s="37"/>
      <c r="N19" s="52"/>
      <c r="O19" s="38" t="s">
        <v>87</v>
      </c>
      <c r="P19" s="38">
        <v>7042</v>
      </c>
    </row>
    <row r="20" spans="1:16" s="29" customFormat="1" ht="45" x14ac:dyDescent="0.15">
      <c r="A20" s="38" t="s">
        <v>3</v>
      </c>
      <c r="B20" s="40">
        <f>IF(簡単見積依頼!N8="",0,簡単見積依頼!N8)</f>
        <v>0</v>
      </c>
      <c r="C20" s="14" t="s">
        <v>28</v>
      </c>
      <c r="D20" s="38">
        <f>IFERROR(ROUNDDOWN((B18-B21+B20)/(100+B20),0),0)</f>
        <v>0</v>
      </c>
      <c r="E20" s="38"/>
      <c r="F20" s="53"/>
      <c r="G20" s="54" t="s">
        <v>108</v>
      </c>
      <c r="H20" s="56" t="s">
        <v>82</v>
      </c>
      <c r="I20" s="38">
        <f>IFERROR(IF(J18="","",E27),"")</f>
        <v>0</v>
      </c>
      <c r="J20" s="50">
        <f>P24</f>
        <v>1890</v>
      </c>
      <c r="K20" s="51">
        <f t="shared" si="1"/>
        <v>0</v>
      </c>
      <c r="L20" s="37"/>
      <c r="M20" s="37"/>
      <c r="N20" s="52"/>
      <c r="O20" s="38" t="s">
        <v>85</v>
      </c>
      <c r="P20" s="38">
        <v>6091</v>
      </c>
    </row>
    <row r="21" spans="1:16" s="29" customFormat="1" ht="22.5" x14ac:dyDescent="0.15">
      <c r="A21" s="38" t="s">
        <v>2</v>
      </c>
      <c r="B21" s="40">
        <f>IF(簡単見積依頼!N9="",0,簡単見積依頼!N9)</f>
        <v>0</v>
      </c>
      <c r="C21" s="14" t="s">
        <v>29</v>
      </c>
      <c r="D21" s="38">
        <f>IF(D20=0,0,D20-1)</f>
        <v>0</v>
      </c>
      <c r="E21" s="38"/>
      <c r="F21" s="53"/>
      <c r="G21" s="54" t="s">
        <v>109</v>
      </c>
      <c r="H21" s="56"/>
      <c r="I21" s="38">
        <f>IFERROR(IF(J18="","",D22),"")</f>
        <v>0</v>
      </c>
      <c r="J21" s="50">
        <f t="shared" ref="J21:J23" si="2">P25</f>
        <v>346</v>
      </c>
      <c r="K21" s="51">
        <f t="shared" si="1"/>
        <v>0</v>
      </c>
      <c r="L21" s="37"/>
      <c r="M21" s="37"/>
      <c r="N21" s="52"/>
      <c r="O21" s="38" t="s">
        <v>88</v>
      </c>
      <c r="P21" s="38">
        <v>5335</v>
      </c>
    </row>
    <row r="22" spans="1:16" s="29" customFormat="1" ht="22.5" x14ac:dyDescent="0.15">
      <c r="A22" s="38"/>
      <c r="B22" s="38"/>
      <c r="C22" s="14" t="s">
        <v>30</v>
      </c>
      <c r="D22" s="38">
        <f>D20*2</f>
        <v>0</v>
      </c>
      <c r="E22" s="38"/>
      <c r="F22" s="53"/>
      <c r="G22" s="54" t="s">
        <v>110</v>
      </c>
      <c r="H22" s="56"/>
      <c r="I22" s="38">
        <f>IFERROR(IF(J18="","",D28),"")</f>
        <v>0</v>
      </c>
      <c r="J22" s="50">
        <f t="shared" si="2"/>
        <v>443</v>
      </c>
      <c r="K22" s="51">
        <f t="shared" si="1"/>
        <v>0</v>
      </c>
      <c r="L22" s="37"/>
      <c r="M22" s="37"/>
      <c r="N22" s="39"/>
      <c r="O22" s="38" t="s">
        <v>65</v>
      </c>
      <c r="P22" s="38">
        <v>4201</v>
      </c>
    </row>
    <row r="23" spans="1:16" s="29" customFormat="1" ht="90.75" thickBot="1" x14ac:dyDescent="0.2">
      <c r="A23" s="38" t="s">
        <v>56</v>
      </c>
      <c r="B23" s="57">
        <f>IFERROR(B18-(D20*100)-((D20-1)*B20),"")</f>
        <v>0</v>
      </c>
      <c r="C23" s="14"/>
      <c r="D23" s="38"/>
      <c r="E23" s="14" t="s">
        <v>49</v>
      </c>
      <c r="F23" s="21" t="s">
        <v>48</v>
      </c>
      <c r="G23" s="58" t="s">
        <v>51</v>
      </c>
      <c r="H23" s="59" t="s">
        <v>83</v>
      </c>
      <c r="I23" s="22">
        <f>IFERROR(IF(J18="","",F30),"")</f>
        <v>0</v>
      </c>
      <c r="J23" s="60">
        <f t="shared" si="2"/>
        <v>1512</v>
      </c>
      <c r="K23" s="61">
        <f t="shared" si="1"/>
        <v>0</v>
      </c>
      <c r="L23" s="37"/>
      <c r="M23" s="37"/>
      <c r="N23" s="47" t="s">
        <v>37</v>
      </c>
      <c r="O23" s="38" t="s">
        <v>43</v>
      </c>
      <c r="P23" s="38">
        <v>3704</v>
      </c>
    </row>
    <row r="24" spans="1:16" s="29" customFormat="1" ht="12" thickBot="1" x14ac:dyDescent="0.2">
      <c r="A24" s="38" t="s">
        <v>42</v>
      </c>
      <c r="B24" s="38" t="s">
        <v>43</v>
      </c>
      <c r="C24" s="14" t="s">
        <v>31</v>
      </c>
      <c r="D24" s="38">
        <f>IFERROR(INT(B19/2000),0)</f>
        <v>0</v>
      </c>
      <c r="E24" s="38">
        <f>IFERROR(D20*(D24+D26),0)</f>
        <v>0</v>
      </c>
      <c r="F24" s="53">
        <f>IF(B18&lt;=1200,E24*4,E24*6)</f>
        <v>0</v>
      </c>
      <c r="G24" s="33"/>
      <c r="H24" s="74"/>
      <c r="I24" s="74" t="s">
        <v>55</v>
      </c>
      <c r="J24" s="74"/>
      <c r="K24" s="75">
        <f>IFERROR(SUM(K18:K23),"")</f>
        <v>0</v>
      </c>
      <c r="L24" s="37"/>
      <c r="M24" s="37"/>
      <c r="N24" s="39"/>
      <c r="O24" s="38" t="s">
        <v>82</v>
      </c>
      <c r="P24" s="38">
        <v>1890</v>
      </c>
    </row>
    <row r="25" spans="1:16" s="29" customFormat="1" x14ac:dyDescent="0.15">
      <c r="A25" s="38" t="s">
        <v>4</v>
      </c>
      <c r="B25" s="57"/>
      <c r="C25" s="14" t="s">
        <v>45</v>
      </c>
      <c r="D25" s="38">
        <f>IFERROR(B19-2000*D24,0)</f>
        <v>0</v>
      </c>
      <c r="E25" s="38"/>
      <c r="F25" s="38"/>
      <c r="G25" s="68"/>
      <c r="H25" s="68"/>
      <c r="I25" s="68"/>
      <c r="J25" s="37"/>
      <c r="K25" s="37"/>
      <c r="L25" s="37"/>
      <c r="M25" s="37"/>
      <c r="N25" s="53" t="s">
        <v>39</v>
      </c>
      <c r="O25" s="67"/>
      <c r="P25" s="38">
        <v>346</v>
      </c>
    </row>
    <row r="26" spans="1:16" s="29" customFormat="1" ht="22.5" x14ac:dyDescent="0.15">
      <c r="A26" s="38"/>
      <c r="B26" s="69" t="s">
        <v>43</v>
      </c>
      <c r="C26" s="14" t="s">
        <v>46</v>
      </c>
      <c r="D26" s="38">
        <f>IF(D25&gt;1000,1,0)</f>
        <v>0</v>
      </c>
      <c r="E26" s="38"/>
      <c r="F26" s="38"/>
      <c r="G26" s="68"/>
      <c r="H26" s="68"/>
      <c r="I26" s="68"/>
      <c r="J26" s="37"/>
      <c r="K26" s="37"/>
      <c r="L26" s="37"/>
      <c r="M26" s="37"/>
      <c r="N26" s="53" t="s">
        <v>40</v>
      </c>
      <c r="O26" s="67"/>
      <c r="P26" s="38">
        <v>443</v>
      </c>
    </row>
    <row r="27" spans="1:16" s="29" customFormat="1" ht="22.5" x14ac:dyDescent="0.15">
      <c r="A27" s="38"/>
      <c r="B27" s="38" t="s">
        <v>44</v>
      </c>
      <c r="C27" s="14" t="s">
        <v>47</v>
      </c>
      <c r="D27" s="38">
        <f>IF(D25=0,0,IF(D25&lt;=1000,1,0))</f>
        <v>0</v>
      </c>
      <c r="E27" s="38">
        <f>D20*D27</f>
        <v>0</v>
      </c>
      <c r="F27" s="38">
        <f>D27*4</f>
        <v>0</v>
      </c>
      <c r="G27" s="68"/>
      <c r="H27" s="68"/>
      <c r="I27" s="68"/>
      <c r="J27" s="37"/>
      <c r="K27" s="37"/>
      <c r="L27" s="37"/>
      <c r="M27" s="37"/>
      <c r="N27" s="53" t="s">
        <v>41</v>
      </c>
      <c r="O27" s="67"/>
      <c r="P27" s="38">
        <v>1512</v>
      </c>
    </row>
    <row r="28" spans="1:16" s="29" customFormat="1" ht="22.5" x14ac:dyDescent="0.15">
      <c r="A28" s="38" t="s">
        <v>53</v>
      </c>
      <c r="B28" s="38"/>
      <c r="C28" s="14" t="s">
        <v>54</v>
      </c>
      <c r="D28" s="38">
        <f>((D24+D26+D27)-1)*D20</f>
        <v>0</v>
      </c>
      <c r="E28" s="38"/>
      <c r="F28" s="38"/>
      <c r="G28" s="68"/>
      <c r="H28" s="68"/>
      <c r="I28" s="68"/>
      <c r="J28" s="37"/>
      <c r="K28" s="37"/>
      <c r="L28" s="37"/>
      <c r="M28" s="37"/>
      <c r="N28" s="37"/>
      <c r="O28" s="37"/>
      <c r="P28" s="37"/>
    </row>
    <row r="29" spans="1:16" s="29" customFormat="1" x14ac:dyDescent="0.15">
      <c r="A29" s="38"/>
      <c r="B29" s="38"/>
      <c r="C29" s="14"/>
      <c r="D29" s="38"/>
      <c r="E29" s="38" t="s">
        <v>6</v>
      </c>
      <c r="F29" s="38">
        <f>F24+F27</f>
        <v>0</v>
      </c>
      <c r="G29" s="68"/>
      <c r="H29" s="68"/>
      <c r="I29" s="68"/>
      <c r="J29" s="37"/>
      <c r="K29" s="37"/>
      <c r="L29" s="37"/>
      <c r="M29" s="37"/>
      <c r="N29" s="37"/>
      <c r="O29" s="37"/>
      <c r="P29" s="37"/>
    </row>
    <row r="30" spans="1:16" s="29" customFormat="1" x14ac:dyDescent="0.15">
      <c r="A30" s="38"/>
      <c r="B30" s="38"/>
      <c r="C30" s="14"/>
      <c r="D30" s="38"/>
      <c r="E30" s="38" t="s">
        <v>5</v>
      </c>
      <c r="F30" s="38">
        <f>ROUNDUP(F29/50,0)</f>
        <v>0</v>
      </c>
      <c r="G30" s="68"/>
      <c r="H30" s="68"/>
      <c r="I30" s="68"/>
      <c r="J30" s="37"/>
      <c r="K30" s="37"/>
      <c r="L30" s="37"/>
      <c r="M30" s="37"/>
      <c r="N30" s="37"/>
      <c r="O30" s="37"/>
      <c r="P30" s="37"/>
    </row>
    <row r="31" spans="1:16" s="70" customFormat="1" ht="12" thickBot="1" x14ac:dyDescent="0.2">
      <c r="A31" s="68"/>
      <c r="B31" s="68"/>
      <c r="C31" s="23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1:16" s="29" customFormat="1" ht="12" thickBot="1" x14ac:dyDescent="0.2">
      <c r="A32" s="31" t="s">
        <v>58</v>
      </c>
      <c r="B32" s="12" t="s">
        <v>32</v>
      </c>
      <c r="C32" s="12"/>
      <c r="D32" s="12" t="s">
        <v>34</v>
      </c>
      <c r="E32" s="12" t="s">
        <v>33</v>
      </c>
      <c r="F32" s="32"/>
      <c r="G32" s="33"/>
      <c r="H32" s="34"/>
      <c r="I32" s="12" t="s">
        <v>52</v>
      </c>
      <c r="J32" s="12" t="s">
        <v>35</v>
      </c>
      <c r="K32" s="71" t="s">
        <v>50</v>
      </c>
      <c r="L32" s="76"/>
      <c r="M32" s="77"/>
      <c r="N32" s="38"/>
      <c r="O32" s="38" t="s">
        <v>38</v>
      </c>
      <c r="P32" s="38" t="s">
        <v>35</v>
      </c>
    </row>
    <row r="33" spans="1:16" s="29" customFormat="1" ht="33.75" x14ac:dyDescent="0.15">
      <c r="A33" s="39" t="s">
        <v>0</v>
      </c>
      <c r="B33" s="40">
        <f>IF(簡単見積依頼!N6="",0,簡単見積依頼!N6)</f>
        <v>0</v>
      </c>
      <c r="C33" s="13" t="s">
        <v>26</v>
      </c>
      <c r="D33" s="39">
        <f>IFERROR(E33-B33,0)</f>
        <v>0</v>
      </c>
      <c r="E33" s="41">
        <f>IFERROR(IF(B33=0,0,IF(B33&lt;=1200,B33+200,B33+400)),0)</f>
        <v>0</v>
      </c>
      <c r="F33" s="42"/>
      <c r="G33" s="43" t="s">
        <v>112</v>
      </c>
      <c r="H33" s="78" t="str">
        <f>IFERROR(IF(E33=0,"",IF(E33&gt;=2401,"計算不可",IF(E33&lt;=800,O35,IF(E33&lt;=1200,O34,O33)))),"")</f>
        <v/>
      </c>
      <c r="I33" s="39">
        <f>IFERROR(IF(J33="","",D34),"")</f>
        <v>0</v>
      </c>
      <c r="J33" s="45">
        <f>IFERROR(IF(E33=0,0,IF(E33&gt;=2401,"",IF(E33&lt;=800,P35,IF(E33&lt;=1200,P34,P33)))),"")</f>
        <v>0</v>
      </c>
      <c r="K33" s="46">
        <f t="shared" ref="K33:K40" si="3">IFERROR(I33*J33,"")</f>
        <v>0</v>
      </c>
      <c r="L33" s="79"/>
      <c r="M33" s="80"/>
      <c r="N33" s="47" t="s">
        <v>59</v>
      </c>
      <c r="O33" s="38" t="s">
        <v>87</v>
      </c>
      <c r="P33" s="38">
        <v>3704</v>
      </c>
    </row>
    <row r="34" spans="1:16" s="29" customFormat="1" ht="33.75" x14ac:dyDescent="0.15">
      <c r="A34" s="38" t="s">
        <v>1</v>
      </c>
      <c r="B34" s="40">
        <f>IF(簡単見積依頼!N7="",0,簡単見積依頼!N7)</f>
        <v>0</v>
      </c>
      <c r="C34" s="14" t="s">
        <v>27</v>
      </c>
      <c r="D34" s="38">
        <f>IFERROR(IF(B33=0,0,IF(B33&lt;=1200,ROUNDUP(B34/2000,0)+1,ROUNDUP(B34/1000,0)+1)),0)</f>
        <v>0</v>
      </c>
      <c r="E34" s="38"/>
      <c r="F34" s="21"/>
      <c r="G34" s="54" t="s">
        <v>106</v>
      </c>
      <c r="H34" s="56"/>
      <c r="I34" s="38">
        <f>IFERROR(IF(J33="","",IF(B33&lt;=801,0,I33)),"")</f>
        <v>0</v>
      </c>
      <c r="J34" s="50">
        <f>P42</f>
        <v>1370</v>
      </c>
      <c r="K34" s="51">
        <f t="shared" si="3"/>
        <v>0</v>
      </c>
      <c r="L34" s="79"/>
      <c r="M34" s="80"/>
      <c r="N34" s="52"/>
      <c r="O34" s="38" t="s">
        <v>91</v>
      </c>
      <c r="P34" s="38">
        <v>1890</v>
      </c>
    </row>
    <row r="35" spans="1:16" s="29" customFormat="1" ht="45" x14ac:dyDescent="0.15">
      <c r="A35" s="38" t="s">
        <v>3</v>
      </c>
      <c r="B35" s="40">
        <f>IF(簡単見積依頼!N8="",0,簡単見積依頼!N8)</f>
        <v>0</v>
      </c>
      <c r="C35" s="14" t="s">
        <v>28</v>
      </c>
      <c r="D35" s="38">
        <f>IFERROR(ROUNDDOWN((B33-B36+B35)/(100+B35),0),0)</f>
        <v>0</v>
      </c>
      <c r="E35" s="38"/>
      <c r="F35" s="53"/>
      <c r="G35" s="54" t="s">
        <v>113</v>
      </c>
      <c r="H35" s="56"/>
      <c r="I35" s="38">
        <f>IFERROR(IF(J33="","",I33),"")</f>
        <v>0</v>
      </c>
      <c r="J35" s="50">
        <f>P39</f>
        <v>270</v>
      </c>
      <c r="K35" s="51">
        <f t="shared" si="3"/>
        <v>0</v>
      </c>
      <c r="L35" s="79"/>
      <c r="M35" s="80"/>
      <c r="N35" s="52"/>
      <c r="O35" s="38" t="s">
        <v>67</v>
      </c>
      <c r="P35" s="38">
        <v>1328</v>
      </c>
    </row>
    <row r="36" spans="1:16" s="29" customFormat="1" ht="22.5" x14ac:dyDescent="0.15">
      <c r="A36" s="38" t="s">
        <v>2</v>
      </c>
      <c r="B36" s="40">
        <f>IF(簡単見積依頼!N9="",0,簡単見積依頼!N9)</f>
        <v>0</v>
      </c>
      <c r="C36" s="14" t="s">
        <v>29</v>
      </c>
      <c r="D36" s="38">
        <f>IF(D35=0,0,D35-1)</f>
        <v>0</v>
      </c>
      <c r="E36" s="38"/>
      <c r="F36" s="53"/>
      <c r="G36" s="48" t="s">
        <v>108</v>
      </c>
      <c r="H36" s="73" t="s">
        <v>89</v>
      </c>
      <c r="I36" s="14">
        <f>IFERROR(IF(J33="","",E39),"")</f>
        <v>0</v>
      </c>
      <c r="J36" s="50">
        <f>P36</f>
        <v>3704</v>
      </c>
      <c r="K36" s="51">
        <f t="shared" si="3"/>
        <v>0</v>
      </c>
      <c r="L36" s="79"/>
      <c r="M36" s="80"/>
      <c r="N36" s="47" t="s">
        <v>37</v>
      </c>
      <c r="O36" s="38" t="s">
        <v>43</v>
      </c>
      <c r="P36" s="38">
        <v>3704</v>
      </c>
    </row>
    <row r="37" spans="1:16" s="29" customFormat="1" ht="22.5" x14ac:dyDescent="0.15">
      <c r="A37" s="38"/>
      <c r="B37" s="38"/>
      <c r="C37" s="14" t="s">
        <v>30</v>
      </c>
      <c r="D37" s="38">
        <f>D35*2</f>
        <v>0</v>
      </c>
      <c r="E37" s="38"/>
      <c r="F37" s="53"/>
      <c r="G37" s="54" t="s">
        <v>108</v>
      </c>
      <c r="H37" s="56" t="s">
        <v>90</v>
      </c>
      <c r="I37" s="38">
        <f>IFERROR(IF(J33="","",E42),"")</f>
        <v>0</v>
      </c>
      <c r="J37" s="50">
        <f>P37</f>
        <v>1890</v>
      </c>
      <c r="K37" s="51">
        <f t="shared" si="3"/>
        <v>0</v>
      </c>
      <c r="L37" s="79"/>
      <c r="M37" s="80"/>
      <c r="N37" s="39"/>
      <c r="O37" s="38" t="s">
        <v>92</v>
      </c>
      <c r="P37" s="38">
        <v>1890</v>
      </c>
    </row>
    <row r="38" spans="1:16" s="29" customFormat="1" ht="56.25" x14ac:dyDescent="0.15">
      <c r="A38" s="38" t="s">
        <v>56</v>
      </c>
      <c r="B38" s="57">
        <f>IFERROR(B33-(D35*100)-((D35-1)*B35),"")</f>
        <v>0</v>
      </c>
      <c r="C38" s="14"/>
      <c r="D38" s="38"/>
      <c r="E38" s="14" t="s">
        <v>49</v>
      </c>
      <c r="F38" s="21" t="s">
        <v>63</v>
      </c>
      <c r="G38" s="54" t="s">
        <v>109</v>
      </c>
      <c r="H38" s="56"/>
      <c r="I38" s="38">
        <f>IFERROR(IF(J33="","",D37),"")</f>
        <v>0</v>
      </c>
      <c r="J38" s="50">
        <f>P38</f>
        <v>346</v>
      </c>
      <c r="K38" s="51">
        <f t="shared" si="3"/>
        <v>0</v>
      </c>
      <c r="L38" s="79"/>
      <c r="M38" s="80"/>
      <c r="N38" s="53" t="s">
        <v>39</v>
      </c>
      <c r="O38" s="67"/>
      <c r="P38" s="38">
        <v>346</v>
      </c>
    </row>
    <row r="39" spans="1:16" s="29" customFormat="1" x14ac:dyDescent="0.15">
      <c r="A39" s="38" t="s">
        <v>42</v>
      </c>
      <c r="B39" s="38" t="s">
        <v>43</v>
      </c>
      <c r="C39" s="14" t="s">
        <v>31</v>
      </c>
      <c r="D39" s="38">
        <f>IFERROR(INT(B34/2000),0)</f>
        <v>0</v>
      </c>
      <c r="E39" s="38">
        <f>IFERROR(D35*(D39+D41),0)</f>
        <v>0</v>
      </c>
      <c r="F39" s="53">
        <f>D34*D35*2</f>
        <v>0</v>
      </c>
      <c r="G39" s="54" t="s">
        <v>110</v>
      </c>
      <c r="H39" s="56"/>
      <c r="I39" s="38">
        <f>IFERROR(IF(J33="","",D43),"")</f>
        <v>0</v>
      </c>
      <c r="J39" s="50">
        <f>P40</f>
        <v>443</v>
      </c>
      <c r="K39" s="51">
        <f t="shared" si="3"/>
        <v>0</v>
      </c>
      <c r="L39" s="79"/>
      <c r="M39" s="80"/>
      <c r="N39" s="53" t="s">
        <v>62</v>
      </c>
      <c r="O39" s="67"/>
      <c r="P39" s="38">
        <v>270</v>
      </c>
    </row>
    <row r="40" spans="1:16" s="29" customFormat="1" ht="23.25" thickBot="1" x14ac:dyDescent="0.2">
      <c r="A40" s="38" t="s">
        <v>4</v>
      </c>
      <c r="B40" s="57"/>
      <c r="C40" s="14" t="s">
        <v>45</v>
      </c>
      <c r="D40" s="38">
        <f>IFERROR(B34-2000*D39,0)</f>
        <v>0</v>
      </c>
      <c r="E40" s="38"/>
      <c r="F40" s="53"/>
      <c r="G40" s="58" t="s">
        <v>51</v>
      </c>
      <c r="H40" s="59" t="s">
        <v>93</v>
      </c>
      <c r="I40" s="22">
        <f>IFERROR(IF(J33="","",F45),"")</f>
        <v>0</v>
      </c>
      <c r="J40" s="60">
        <f>P41</f>
        <v>1706</v>
      </c>
      <c r="K40" s="61">
        <f t="shared" si="3"/>
        <v>0</v>
      </c>
      <c r="L40" s="79"/>
      <c r="M40" s="80"/>
      <c r="N40" s="53" t="s">
        <v>40</v>
      </c>
      <c r="O40" s="67"/>
      <c r="P40" s="38">
        <v>443</v>
      </c>
    </row>
    <row r="41" spans="1:16" s="29" customFormat="1" ht="23.25" thickBot="1" x14ac:dyDescent="0.2">
      <c r="A41" s="38"/>
      <c r="B41" s="69" t="s">
        <v>43</v>
      </c>
      <c r="C41" s="14" t="s">
        <v>46</v>
      </c>
      <c r="D41" s="38">
        <f>IF(D40&gt;1000,1,0)</f>
        <v>0</v>
      </c>
      <c r="E41" s="38"/>
      <c r="F41" s="53"/>
      <c r="G41" s="62"/>
      <c r="H41" s="63"/>
      <c r="I41" s="63" t="s">
        <v>55</v>
      </c>
      <c r="J41" s="63"/>
      <c r="K41" s="81">
        <f>IFERROR(SUM(K33:K40),"")</f>
        <v>0</v>
      </c>
      <c r="L41" s="82"/>
      <c r="M41" s="83"/>
      <c r="N41" s="53" t="s">
        <v>61</v>
      </c>
      <c r="O41" s="67"/>
      <c r="P41" s="38">
        <v>1706</v>
      </c>
    </row>
    <row r="42" spans="1:16" s="29" customFormat="1" ht="22.5" x14ac:dyDescent="0.15">
      <c r="A42" s="38"/>
      <c r="B42" s="38" t="s">
        <v>44</v>
      </c>
      <c r="C42" s="14" t="s">
        <v>47</v>
      </c>
      <c r="D42" s="38">
        <f>IF(D40=0,0,IF(D40&lt;=1000,1,0))</f>
        <v>0</v>
      </c>
      <c r="E42" s="38">
        <f>D35*D42</f>
        <v>0</v>
      </c>
      <c r="F42" s="38">
        <f>D42*4</f>
        <v>0</v>
      </c>
      <c r="G42" s="68"/>
      <c r="H42" s="68"/>
      <c r="I42" s="68"/>
      <c r="J42" s="37"/>
      <c r="K42" s="37"/>
      <c r="L42" s="37"/>
      <c r="M42" s="37"/>
      <c r="N42" s="53" t="s">
        <v>60</v>
      </c>
      <c r="O42" s="67"/>
      <c r="P42" s="38">
        <v>1370</v>
      </c>
    </row>
    <row r="43" spans="1:16" s="29" customFormat="1" ht="22.5" x14ac:dyDescent="0.15">
      <c r="A43" s="38" t="s">
        <v>53</v>
      </c>
      <c r="B43" s="38"/>
      <c r="C43" s="14" t="s">
        <v>54</v>
      </c>
      <c r="D43" s="38">
        <f>((D39+D41+D42)-1)*D35</f>
        <v>0</v>
      </c>
      <c r="E43" s="38"/>
      <c r="F43" s="38"/>
      <c r="G43" s="68"/>
      <c r="H43" s="68"/>
      <c r="I43" s="68"/>
      <c r="J43" s="37"/>
      <c r="K43" s="37"/>
      <c r="L43" s="37"/>
      <c r="M43" s="37"/>
      <c r="N43" s="37"/>
      <c r="O43" s="37"/>
      <c r="P43" s="37"/>
    </row>
    <row r="44" spans="1:16" s="29" customFormat="1" x14ac:dyDescent="0.15">
      <c r="A44" s="38"/>
      <c r="B44" s="38"/>
      <c r="C44" s="14"/>
      <c r="D44" s="38"/>
      <c r="E44" s="38" t="s">
        <v>6</v>
      </c>
      <c r="F44" s="38">
        <f>F39+F42</f>
        <v>0</v>
      </c>
      <c r="G44" s="68"/>
      <c r="H44" s="68"/>
      <c r="I44" s="68"/>
      <c r="J44" s="37"/>
      <c r="K44" s="37"/>
      <c r="L44" s="37"/>
      <c r="M44" s="37"/>
      <c r="N44" s="37"/>
      <c r="O44" s="37"/>
      <c r="P44" s="37"/>
    </row>
    <row r="45" spans="1:16" s="29" customFormat="1" x14ac:dyDescent="0.15">
      <c r="A45" s="38"/>
      <c r="B45" s="38"/>
      <c r="C45" s="14"/>
      <c r="D45" s="38"/>
      <c r="E45" s="38" t="s">
        <v>5</v>
      </c>
      <c r="F45" s="38">
        <f>ROUNDUP(F44/50,0)</f>
        <v>0</v>
      </c>
      <c r="G45" s="68"/>
      <c r="H45" s="68"/>
      <c r="I45" s="68"/>
      <c r="J45" s="37"/>
      <c r="K45" s="37"/>
      <c r="L45" s="37"/>
      <c r="M45" s="37"/>
      <c r="N45" s="37"/>
      <c r="O45" s="37"/>
      <c r="P45" s="37"/>
    </row>
    <row r="46" spans="1:16" s="29" customFormat="1" ht="12" thickBot="1" x14ac:dyDescent="0.2">
      <c r="A46" s="68"/>
      <c r="B46" s="68"/>
      <c r="C46" s="23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1:16" ht="12" thickBot="1" x14ac:dyDescent="0.2">
      <c r="A47" s="84" t="s">
        <v>57</v>
      </c>
      <c r="B47" s="15" t="s">
        <v>32</v>
      </c>
      <c r="C47" s="15"/>
      <c r="D47" s="15" t="s">
        <v>34</v>
      </c>
      <c r="E47" s="15" t="s">
        <v>33</v>
      </c>
      <c r="G47" s="85"/>
      <c r="H47" s="86"/>
      <c r="I47" s="15" t="s">
        <v>52</v>
      </c>
      <c r="J47" s="15" t="s">
        <v>35</v>
      </c>
      <c r="K47" s="87" t="s">
        <v>50</v>
      </c>
      <c r="M47" s="88"/>
      <c r="N47" s="88" t="s">
        <v>38</v>
      </c>
      <c r="O47" s="88" t="s">
        <v>35</v>
      </c>
    </row>
    <row r="48" spans="1:16" ht="33.75" x14ac:dyDescent="0.15">
      <c r="A48" s="89" t="s">
        <v>0</v>
      </c>
      <c r="B48" s="90">
        <f>簡単見積依頼!$N$44</f>
        <v>0</v>
      </c>
      <c r="C48" s="16" t="s">
        <v>26</v>
      </c>
      <c r="D48" s="89">
        <f>IF(B48=0,0,E48-B48)</f>
        <v>0</v>
      </c>
      <c r="E48" s="91">
        <f>IF(B48=0,0,IF(B48&lt;=2000,B48+400,B48+500))</f>
        <v>0</v>
      </c>
      <c r="G48" s="92" t="s">
        <v>107</v>
      </c>
      <c r="H48" s="93" t="str">
        <f>IFERROR(IF(B48=0,"",IF(E48&gt;=2826,"計算不可",IF(E48&lt;=1120,N51,IF(E48&lt;=1410,N50,IF(E48&lt;=1883,N49,N48))))),"")</f>
        <v/>
      </c>
      <c r="I48" s="89">
        <f>D49</f>
        <v>0</v>
      </c>
      <c r="J48" s="94">
        <f>IFERROR(IF(B48=0,0,IF(E48&gt;=2826,"",IF(E48&lt;=1120,O51,IF(E48&lt;=1410,O50,IF(E48&lt;=1883,O49,O48))))),"")</f>
        <v>0</v>
      </c>
      <c r="K48" s="95">
        <f>IFERROR(I48*J48,"")</f>
        <v>0</v>
      </c>
      <c r="M48" s="96" t="s">
        <v>69</v>
      </c>
      <c r="N48" s="88" t="s">
        <v>94</v>
      </c>
      <c r="O48" s="88">
        <v>11869</v>
      </c>
    </row>
    <row r="49" spans="1:16" ht="14.25" customHeight="1" thickBot="1" x14ac:dyDescent="0.2">
      <c r="A49" s="88" t="s">
        <v>1</v>
      </c>
      <c r="B49" s="97">
        <f>簡単見積依頼!$N$45</f>
        <v>0</v>
      </c>
      <c r="C49" s="17" t="s">
        <v>81</v>
      </c>
      <c r="D49" s="88">
        <f>INT((B49+B50)/(90+B50))</f>
        <v>0</v>
      </c>
      <c r="E49" s="88"/>
      <c r="G49" s="18"/>
      <c r="H49" s="19"/>
      <c r="I49" s="20"/>
      <c r="J49" s="98"/>
      <c r="K49" s="99"/>
      <c r="M49" s="100"/>
      <c r="N49" s="88" t="s">
        <v>96</v>
      </c>
      <c r="O49" s="88">
        <v>8089</v>
      </c>
    </row>
    <row r="50" spans="1:16" ht="12" thickBot="1" x14ac:dyDescent="0.2">
      <c r="A50" s="88" t="s">
        <v>3</v>
      </c>
      <c r="B50" s="97">
        <f>簡単見積依頼!$N$46</f>
        <v>0</v>
      </c>
      <c r="C50" s="17"/>
      <c r="D50" s="88"/>
      <c r="E50" s="88"/>
      <c r="G50" s="85"/>
      <c r="H50" s="101"/>
      <c r="I50" s="101" t="s">
        <v>55</v>
      </c>
      <c r="J50" s="102"/>
      <c r="K50" s="103">
        <f>SUM(K48:K49)</f>
        <v>0</v>
      </c>
      <c r="M50" s="100"/>
      <c r="N50" s="88" t="s">
        <v>139</v>
      </c>
      <c r="O50" s="88">
        <v>6394</v>
      </c>
    </row>
    <row r="51" spans="1:16" ht="12" thickBot="1" x14ac:dyDescent="0.2">
      <c r="A51" s="88" t="s">
        <v>80</v>
      </c>
      <c r="B51" s="97">
        <f>D49*(90+B50)-B50</f>
        <v>0</v>
      </c>
      <c r="C51" s="17"/>
      <c r="D51" s="88"/>
      <c r="E51" s="88"/>
      <c r="G51" s="68"/>
      <c r="H51" s="68"/>
      <c r="I51" s="68"/>
      <c r="J51" s="37"/>
      <c r="K51" s="37"/>
      <c r="M51" s="89"/>
      <c r="N51" s="88" t="s">
        <v>140</v>
      </c>
      <c r="O51" s="88">
        <v>5260</v>
      </c>
    </row>
    <row r="52" spans="1:16" s="29" customFormat="1" ht="12" thickBot="1" x14ac:dyDescent="0.2">
      <c r="A52" s="84" t="s">
        <v>25</v>
      </c>
      <c r="B52" s="15" t="s">
        <v>32</v>
      </c>
      <c r="C52" s="15"/>
      <c r="D52" s="15" t="s">
        <v>34</v>
      </c>
      <c r="E52" s="15" t="s">
        <v>33</v>
      </c>
      <c r="G52" s="85"/>
      <c r="H52" s="86"/>
      <c r="I52" s="15" t="s">
        <v>52</v>
      </c>
      <c r="J52" s="15" t="s">
        <v>35</v>
      </c>
      <c r="K52" s="87" t="s">
        <v>50</v>
      </c>
      <c r="M52" s="96" t="s">
        <v>36</v>
      </c>
      <c r="N52" s="88" t="s">
        <v>94</v>
      </c>
      <c r="O52" s="88">
        <v>8359</v>
      </c>
    </row>
    <row r="53" spans="1:16" s="29" customFormat="1" ht="33.75" x14ac:dyDescent="0.15">
      <c r="A53" s="89" t="s">
        <v>0</v>
      </c>
      <c r="B53" s="90">
        <f>簡単見積依頼!$N$44</f>
        <v>0</v>
      </c>
      <c r="C53" s="16" t="s">
        <v>26</v>
      </c>
      <c r="D53" s="89">
        <f>IF(B53=0,0,E53-B53)</f>
        <v>0</v>
      </c>
      <c r="E53" s="91">
        <f>IF(B53=0,0,IF(B53&lt;=2000,B53+400,B53+500))</f>
        <v>0</v>
      </c>
      <c r="G53" s="92" t="s">
        <v>111</v>
      </c>
      <c r="H53" s="104" t="str">
        <f>IFERROR(IF(B48=0,"",IF(E53&gt;=2826,"計算不可",IF(E53&lt;=1200,N56,IF(E53&lt;=1600,N55,IF(E53&lt;=1883,N54,IF(E53&lt;=2400,N53,N52)))))),"")</f>
        <v/>
      </c>
      <c r="I53" s="89">
        <f>D54</f>
        <v>0</v>
      </c>
      <c r="J53" s="89">
        <f>IFERROR(IF(B53=0,0,IF(E53&gt;=2826,"",IF(E53&lt;=1200,O56,IF(E53&lt;=1600,O55,IF(E53&lt;=1883,O54,IF(E53&lt;=2400,O53,O52)))))),"")</f>
        <v>0</v>
      </c>
      <c r="K53" s="105">
        <f>IFERROR(I53*J53,"")</f>
        <v>0</v>
      </c>
      <c r="M53" s="100"/>
      <c r="N53" s="88" t="s">
        <v>95</v>
      </c>
      <c r="O53" s="88">
        <v>7042</v>
      </c>
    </row>
    <row r="54" spans="1:16" s="29" customFormat="1" ht="12" thickBot="1" x14ac:dyDescent="0.2">
      <c r="A54" s="88" t="s">
        <v>1</v>
      </c>
      <c r="B54" s="97">
        <f>簡単見積依頼!$N$45</f>
        <v>0</v>
      </c>
      <c r="C54" s="17" t="s">
        <v>79</v>
      </c>
      <c r="D54" s="88">
        <f>INT((B54+B55)/(75+B55))</f>
        <v>0</v>
      </c>
      <c r="E54" s="88"/>
      <c r="G54" s="18"/>
      <c r="H54" s="19"/>
      <c r="I54" s="20"/>
      <c r="J54" s="96"/>
      <c r="K54" s="106"/>
      <c r="M54" s="100"/>
      <c r="N54" s="88" t="s">
        <v>96</v>
      </c>
      <c r="O54" s="88">
        <v>6091</v>
      </c>
    </row>
    <row r="55" spans="1:16" s="29" customFormat="1" ht="12" thickBot="1" x14ac:dyDescent="0.2">
      <c r="A55" s="88" t="s">
        <v>3</v>
      </c>
      <c r="B55" s="97">
        <f>簡単見積依頼!$N$46</f>
        <v>0</v>
      </c>
      <c r="C55" s="17"/>
      <c r="D55" s="88"/>
      <c r="E55" s="88"/>
      <c r="G55" s="85"/>
      <c r="H55" s="101"/>
      <c r="I55" s="101" t="s">
        <v>55</v>
      </c>
      <c r="J55" s="101"/>
      <c r="K55" s="107">
        <f>SUM(K53:K54)</f>
        <v>0</v>
      </c>
      <c r="M55" s="100"/>
      <c r="N55" s="88" t="s">
        <v>97</v>
      </c>
      <c r="O55" s="88">
        <v>5335</v>
      </c>
    </row>
    <row r="56" spans="1:16" s="29" customFormat="1" x14ac:dyDescent="0.15">
      <c r="A56" s="88" t="s">
        <v>80</v>
      </c>
      <c r="B56" s="97">
        <f>D54*(75+B55)-B55</f>
        <v>0</v>
      </c>
      <c r="C56" s="17"/>
      <c r="D56" s="88"/>
      <c r="E56" s="88"/>
      <c r="F56" s="68"/>
      <c r="G56" s="68"/>
      <c r="H56" s="68"/>
      <c r="I56" s="37"/>
      <c r="J56" s="37"/>
      <c r="M56" s="89"/>
      <c r="N56" s="88" t="s">
        <v>98</v>
      </c>
      <c r="O56" s="88">
        <v>4201</v>
      </c>
    </row>
    <row r="57" spans="1:16" s="29" customFormat="1" ht="12" thickBot="1" x14ac:dyDescent="0.2">
      <c r="F57" s="70"/>
      <c r="G57" s="70"/>
      <c r="H57" s="70"/>
      <c r="M57" s="30"/>
    </row>
    <row r="58" spans="1:16" s="29" customFormat="1" ht="12" thickBot="1" x14ac:dyDescent="0.2">
      <c r="A58" s="108" t="s">
        <v>58</v>
      </c>
      <c r="B58" s="24" t="s">
        <v>32</v>
      </c>
      <c r="C58" s="24"/>
      <c r="D58" s="24" t="s">
        <v>34</v>
      </c>
      <c r="E58" s="24" t="s">
        <v>33</v>
      </c>
      <c r="F58" s="109"/>
      <c r="G58" s="110"/>
      <c r="H58" s="111"/>
      <c r="I58" s="112" t="s">
        <v>52</v>
      </c>
      <c r="J58" s="112" t="s">
        <v>35</v>
      </c>
      <c r="K58" s="113" t="s">
        <v>50</v>
      </c>
      <c r="N58" s="114"/>
      <c r="O58" s="114" t="s">
        <v>38</v>
      </c>
      <c r="P58" s="114" t="s">
        <v>35</v>
      </c>
    </row>
    <row r="59" spans="1:16" s="29" customFormat="1" ht="31.5" x14ac:dyDescent="0.15">
      <c r="A59" s="115" t="s">
        <v>0</v>
      </c>
      <c r="B59" s="116">
        <f>簡単見積依頼!N82</f>
        <v>0</v>
      </c>
      <c r="C59" s="144" t="s">
        <v>26</v>
      </c>
      <c r="D59" s="115">
        <f>IF(B59=0,0,E59-B59)</f>
        <v>0</v>
      </c>
      <c r="E59" s="117">
        <f>IF(B59=0,0,IF(B59&lt;=1200,B59+300,B59+400))</f>
        <v>0</v>
      </c>
      <c r="F59" s="118"/>
      <c r="G59" s="119" t="s">
        <v>115</v>
      </c>
      <c r="H59" s="120" t="str">
        <f>IFERROR(IF(B59=0,"",IF(J59="","計算不可",IF(E59&lt;=800,O61,IF(E59&lt;=1200,O60,O59)))),"")</f>
        <v/>
      </c>
      <c r="I59" s="115">
        <f>IFERROR(IF(J59="","",D60),"")</f>
        <v>0</v>
      </c>
      <c r="J59" s="121">
        <f>IFERROR(IF(B59=0,0,IF(E59&gt;2401,"",IF(E59&lt;=800,P61,IF(E59&lt;=1200,P60,P59)))),"")</f>
        <v>0</v>
      </c>
      <c r="K59" s="122">
        <f t="shared" ref="K59:K64" si="4">IFERROR(I59*J59,"")</f>
        <v>0</v>
      </c>
      <c r="N59" s="123" t="s">
        <v>59</v>
      </c>
      <c r="O59" s="114" t="s">
        <v>95</v>
      </c>
      <c r="P59" s="114">
        <v>3704</v>
      </c>
    </row>
    <row r="60" spans="1:16" s="29" customFormat="1" ht="24" customHeight="1" x14ac:dyDescent="0.15">
      <c r="A60" s="114" t="s">
        <v>1</v>
      </c>
      <c r="B60" s="124">
        <f>簡単見積依頼!N83</f>
        <v>0</v>
      </c>
      <c r="C60" s="145" t="s">
        <v>64</v>
      </c>
      <c r="D60" s="114">
        <f>INT((B60+B61)/(40+B61))</f>
        <v>0</v>
      </c>
      <c r="E60" s="114"/>
      <c r="F60" s="26"/>
      <c r="G60" s="119" t="s">
        <v>114</v>
      </c>
      <c r="H60" s="120" t="s">
        <v>101</v>
      </c>
      <c r="I60" s="115">
        <f>IFERROR(IF(J59="","",F65),"")</f>
        <v>0</v>
      </c>
      <c r="J60" s="121">
        <f>P60</f>
        <v>1890</v>
      </c>
      <c r="K60" s="122">
        <f t="shared" si="4"/>
        <v>0</v>
      </c>
      <c r="N60" s="125"/>
      <c r="O60" s="114" t="s">
        <v>99</v>
      </c>
      <c r="P60" s="114">
        <v>1890</v>
      </c>
    </row>
    <row r="61" spans="1:16" s="29" customFormat="1" ht="24" customHeight="1" x14ac:dyDescent="0.15">
      <c r="A61" s="114" t="s">
        <v>3</v>
      </c>
      <c r="B61" s="124">
        <f>簡単見積依頼!N84</f>
        <v>0</v>
      </c>
      <c r="C61" s="145"/>
      <c r="D61" s="114"/>
      <c r="E61" s="114"/>
      <c r="F61" s="126"/>
      <c r="G61" s="119" t="s">
        <v>114</v>
      </c>
      <c r="H61" s="120" t="s">
        <v>100</v>
      </c>
      <c r="I61" s="114">
        <f>IFERROR(IF(J59="","",F66),"")</f>
        <v>0</v>
      </c>
      <c r="J61" s="121">
        <f>P61</f>
        <v>1328</v>
      </c>
      <c r="K61" s="127">
        <f t="shared" si="4"/>
        <v>0</v>
      </c>
      <c r="N61" s="125"/>
      <c r="O61" s="114" t="s">
        <v>100</v>
      </c>
      <c r="P61" s="114">
        <v>1328</v>
      </c>
    </row>
    <row r="62" spans="1:16" s="29" customFormat="1" ht="24" customHeight="1" x14ac:dyDescent="0.15">
      <c r="A62" s="114" t="s">
        <v>2</v>
      </c>
      <c r="B62" s="124">
        <v>0</v>
      </c>
      <c r="C62" s="145"/>
      <c r="D62" s="114" t="s">
        <v>73</v>
      </c>
      <c r="E62" s="114" t="s">
        <v>70</v>
      </c>
      <c r="F62" s="126" t="s">
        <v>74</v>
      </c>
      <c r="G62" s="128" t="s">
        <v>62</v>
      </c>
      <c r="H62" s="129"/>
      <c r="I62" s="114">
        <f>IFERROR((IF(D60=0,0,IF(J59="","",D60+4))),"")</f>
        <v>0</v>
      </c>
      <c r="J62" s="130">
        <f>P62</f>
        <v>270</v>
      </c>
      <c r="K62" s="127">
        <f t="shared" si="4"/>
        <v>0</v>
      </c>
      <c r="N62" s="126" t="s">
        <v>62</v>
      </c>
      <c r="O62" s="131"/>
      <c r="P62" s="114">
        <v>270</v>
      </c>
    </row>
    <row r="63" spans="1:16" s="29" customFormat="1" ht="24" customHeight="1" x14ac:dyDescent="0.15">
      <c r="A63" s="114" t="s">
        <v>71</v>
      </c>
      <c r="B63" s="114">
        <f>B60</f>
        <v>0</v>
      </c>
      <c r="C63" s="145" t="s">
        <v>72</v>
      </c>
      <c r="D63" s="114">
        <f>INT(B63/1200)</f>
        <v>0</v>
      </c>
      <c r="E63" s="114">
        <f>B63-(D63*1200)</f>
        <v>0</v>
      </c>
      <c r="F63" s="126"/>
      <c r="G63" s="185" t="s">
        <v>77</v>
      </c>
      <c r="H63" s="186"/>
      <c r="I63" s="25">
        <f>IFERROR(IF(J59="","",D68),"")</f>
        <v>0</v>
      </c>
      <c r="J63" s="130">
        <f>P63</f>
        <v>950</v>
      </c>
      <c r="K63" s="127">
        <f t="shared" si="4"/>
        <v>0</v>
      </c>
      <c r="N63" s="126" t="s">
        <v>78</v>
      </c>
      <c r="O63" s="131"/>
      <c r="P63" s="114">
        <v>950</v>
      </c>
    </row>
    <row r="64" spans="1:16" s="29" customFormat="1" ht="24" customHeight="1" thickBot="1" x14ac:dyDescent="0.2">
      <c r="A64" s="114"/>
      <c r="B64" s="132"/>
      <c r="C64" s="145" t="s">
        <v>45</v>
      </c>
      <c r="D64" s="114">
        <f>E63</f>
        <v>0</v>
      </c>
      <c r="E64" s="114"/>
      <c r="F64" s="114"/>
      <c r="G64" s="27" t="s">
        <v>61</v>
      </c>
      <c r="H64" s="28"/>
      <c r="I64" s="133">
        <f>IFERROR(IF(J59="","",F70),"")</f>
        <v>0</v>
      </c>
      <c r="J64" s="134">
        <f>P64</f>
        <v>1706</v>
      </c>
      <c r="K64" s="135">
        <f t="shared" si="4"/>
        <v>0</v>
      </c>
      <c r="N64" s="126" t="s">
        <v>61</v>
      </c>
      <c r="O64" s="131"/>
      <c r="P64" s="114">
        <v>1706</v>
      </c>
    </row>
    <row r="65" spans="1:18" s="29" customFormat="1" ht="24" customHeight="1" thickBot="1" x14ac:dyDescent="0.2">
      <c r="A65" s="114"/>
      <c r="B65" s="136" t="s">
        <v>65</v>
      </c>
      <c r="C65" s="145" t="s">
        <v>66</v>
      </c>
      <c r="D65" s="114">
        <f>IF(D64&lt;=801,0,1)</f>
        <v>0</v>
      </c>
      <c r="E65" s="114"/>
      <c r="F65" s="126">
        <f>(D63+D65)*2</f>
        <v>0</v>
      </c>
      <c r="G65" s="110"/>
      <c r="H65" s="137"/>
      <c r="I65" s="137" t="s">
        <v>55</v>
      </c>
      <c r="J65" s="137"/>
      <c r="K65" s="138">
        <f>IFERROR(SUM(K59:K64),"")</f>
        <v>0</v>
      </c>
      <c r="N65" s="126" t="s">
        <v>60</v>
      </c>
      <c r="O65" s="131"/>
      <c r="P65" s="114">
        <v>1370</v>
      </c>
    </row>
    <row r="66" spans="1:18" s="29" customFormat="1" ht="24" customHeight="1" x14ac:dyDescent="0.15">
      <c r="A66" s="114"/>
      <c r="B66" s="136" t="s">
        <v>67</v>
      </c>
      <c r="C66" s="145" t="s">
        <v>68</v>
      </c>
      <c r="D66" s="114">
        <f>IF(D64&lt;=800,INT(D64/800),0)</f>
        <v>0</v>
      </c>
      <c r="E66" s="114"/>
      <c r="F66" s="114">
        <f>(D66+D67)*2</f>
        <v>0</v>
      </c>
      <c r="G66" s="139"/>
      <c r="H66" s="139"/>
      <c r="I66" s="139"/>
      <c r="J66" s="140"/>
      <c r="K66" s="140"/>
      <c r="L66" s="140"/>
      <c r="M66" s="140"/>
      <c r="N66" s="140"/>
      <c r="O66" s="140"/>
      <c r="P66" s="140"/>
    </row>
    <row r="67" spans="1:18" s="29" customFormat="1" ht="24" customHeight="1" x14ac:dyDescent="0.15">
      <c r="A67" s="114"/>
      <c r="B67" s="114" t="s">
        <v>67</v>
      </c>
      <c r="C67" s="145" t="s">
        <v>47</v>
      </c>
      <c r="D67" s="114">
        <f>IF(D64=0,0,IF(D64&lt;=800,1,0))</f>
        <v>0</v>
      </c>
      <c r="E67" s="114">
        <f>D61*D67</f>
        <v>0</v>
      </c>
      <c r="F67" s="114"/>
      <c r="G67" s="139"/>
      <c r="H67" s="139"/>
      <c r="I67" s="139"/>
      <c r="J67" s="140"/>
      <c r="K67" s="140"/>
      <c r="L67" s="140"/>
      <c r="M67" s="140"/>
      <c r="N67" s="140"/>
      <c r="O67" s="140"/>
      <c r="P67" s="140"/>
    </row>
    <row r="68" spans="1:18" s="29" customFormat="1" ht="24" customHeight="1" x14ac:dyDescent="0.15">
      <c r="A68" s="114" t="s">
        <v>53</v>
      </c>
      <c r="B68" s="114"/>
      <c r="C68" s="145" t="s">
        <v>75</v>
      </c>
      <c r="D68" s="114">
        <f>IF((F65+F66)=0,0,(((F65+F66)/2)-1))</f>
        <v>0</v>
      </c>
      <c r="E68" s="114"/>
      <c r="F68" s="114" t="s">
        <v>76</v>
      </c>
      <c r="G68" s="139"/>
      <c r="H68" s="139"/>
      <c r="I68" s="139"/>
      <c r="J68" s="140"/>
      <c r="K68" s="140"/>
      <c r="L68" s="140"/>
      <c r="M68" s="140"/>
      <c r="N68" s="140"/>
      <c r="O68" s="140"/>
      <c r="P68" s="140"/>
    </row>
    <row r="69" spans="1:18" s="29" customFormat="1" ht="24" customHeight="1" x14ac:dyDescent="0.15">
      <c r="A69" s="114"/>
      <c r="B69" s="114"/>
      <c r="C69" s="145"/>
      <c r="D69" s="114"/>
      <c r="E69" s="114" t="s">
        <v>6</v>
      </c>
      <c r="F69" s="114">
        <f>D60*2</f>
        <v>0</v>
      </c>
      <c r="G69" s="139"/>
      <c r="H69" s="139"/>
      <c r="I69" s="139"/>
      <c r="J69" s="140"/>
      <c r="K69" s="140"/>
      <c r="L69" s="140"/>
      <c r="M69" s="140"/>
      <c r="N69" s="140"/>
      <c r="O69" s="140"/>
      <c r="P69" s="140"/>
    </row>
    <row r="70" spans="1:18" s="29" customFormat="1" ht="24" customHeight="1" x14ac:dyDescent="0.15">
      <c r="A70" s="114"/>
      <c r="B70" s="114"/>
      <c r="C70" s="25"/>
      <c r="D70" s="114"/>
      <c r="E70" s="114" t="s">
        <v>5</v>
      </c>
      <c r="F70" s="114">
        <f>ROUNDUP(F69/50,0)</f>
        <v>0</v>
      </c>
      <c r="G70" s="139"/>
      <c r="H70" s="139"/>
      <c r="I70" s="139"/>
      <c r="J70" s="140"/>
      <c r="K70" s="140"/>
      <c r="L70" s="140"/>
      <c r="M70" s="140"/>
      <c r="N70" s="140"/>
      <c r="O70" s="140"/>
      <c r="P70" s="140"/>
    </row>
    <row r="71" spans="1:18" ht="24" customHeight="1" x14ac:dyDescent="0.15">
      <c r="G71" s="140"/>
      <c r="H71" s="140"/>
      <c r="I71" s="140"/>
      <c r="J71" s="140"/>
      <c r="K71" s="140"/>
      <c r="L71" s="140"/>
      <c r="M71" s="140"/>
      <c r="N71" s="141"/>
      <c r="O71" s="141"/>
      <c r="P71" s="141"/>
    </row>
    <row r="73" spans="1:18" ht="19.5" customHeight="1" x14ac:dyDescent="0.15">
      <c r="Q73" s="172" t="s">
        <v>131</v>
      </c>
      <c r="R73" s="169"/>
    </row>
    <row r="74" spans="1:18" ht="22.5" customHeight="1" x14ac:dyDescent="0.15">
      <c r="G74" s="147" t="s">
        <v>117</v>
      </c>
      <c r="H74" s="148"/>
      <c r="I74" s="149" t="s">
        <v>103</v>
      </c>
      <c r="J74" s="149" t="s">
        <v>104</v>
      </c>
      <c r="K74" s="149" t="s">
        <v>105</v>
      </c>
      <c r="Q74" s="171" t="str">
        <f>CONCATENATE(R2,S2)</f>
        <v>高さ　0</v>
      </c>
      <c r="R74" s="171"/>
    </row>
    <row r="75" spans="1:18" ht="22.5" customHeight="1" x14ac:dyDescent="0.15">
      <c r="C75" s="142"/>
      <c r="D75" s="142"/>
      <c r="G75" s="150" t="str">
        <f>CONCATENATE(G3,H3)</f>
        <v>90角柱　90×90×</v>
      </c>
      <c r="H75" s="150"/>
      <c r="I75" s="150">
        <f>I3</f>
        <v>0</v>
      </c>
      <c r="J75" s="151">
        <f t="shared" ref="J75:K75" si="5">J3</f>
        <v>5260</v>
      </c>
      <c r="K75" s="151">
        <f t="shared" si="5"/>
        <v>0</v>
      </c>
      <c r="Q75" s="181" t="str">
        <f>CONCATENATE(R3,S3,T3,U3,V3,W3,X3)</f>
        <v>　平板100×0枚＝0</v>
      </c>
      <c r="R75" s="181"/>
    </row>
    <row r="76" spans="1:18" ht="22.5" customHeight="1" x14ac:dyDescent="0.15">
      <c r="G76" s="152" t="str">
        <f t="shared" ref="G76:G80" si="6">CONCATENATE(G4,H4)</f>
        <v>平板　100×15×L2000</v>
      </c>
      <c r="H76" s="152"/>
      <c r="I76" s="152">
        <f t="shared" ref="I76:K80" si="7">I4</f>
        <v>0</v>
      </c>
      <c r="J76" s="153">
        <f t="shared" si="7"/>
        <v>3704</v>
      </c>
      <c r="K76" s="153">
        <f t="shared" si="7"/>
        <v>0</v>
      </c>
      <c r="Q76" s="182" t="str">
        <f>CONCATENATE(R4,S4,T4,U4,V4,,W4,X4)</f>
        <v>　隙間0×0箇所＝0</v>
      </c>
      <c r="R76" s="182"/>
    </row>
    <row r="77" spans="1:18" ht="22.5" customHeight="1" x14ac:dyDescent="0.15">
      <c r="G77" s="152" t="str">
        <f t="shared" si="6"/>
        <v>平板　100×15×L1000</v>
      </c>
      <c r="H77" s="152"/>
      <c r="I77" s="152">
        <f t="shared" si="7"/>
        <v>0</v>
      </c>
      <c r="J77" s="153">
        <f t="shared" si="7"/>
        <v>1890</v>
      </c>
      <c r="K77" s="153">
        <f t="shared" si="7"/>
        <v>0</v>
      </c>
      <c r="Q77" s="170"/>
      <c r="R77" s="174">
        <f>SUM(X3:X6)</f>
        <v>0</v>
      </c>
    </row>
    <row r="78" spans="1:18" ht="22.5" customHeight="1" x14ac:dyDescent="0.15">
      <c r="G78" s="152" t="str">
        <f t="shared" si="6"/>
        <v>平板　キャップ</v>
      </c>
      <c r="H78" s="152"/>
      <c r="I78" s="152">
        <f t="shared" si="7"/>
        <v>0</v>
      </c>
      <c r="J78" s="153">
        <f t="shared" si="7"/>
        <v>346</v>
      </c>
      <c r="K78" s="153">
        <f t="shared" si="7"/>
        <v>0</v>
      </c>
      <c r="Q78" s="169" t="s">
        <v>123</v>
      </c>
      <c r="R78" s="175">
        <f>B3-R77</f>
        <v>0</v>
      </c>
    </row>
    <row r="79" spans="1:18" ht="22.5" customHeight="1" x14ac:dyDescent="0.15">
      <c r="G79" s="152" t="str">
        <f t="shared" si="6"/>
        <v>平板　連結材</v>
      </c>
      <c r="H79" s="152"/>
      <c r="I79" s="152">
        <f t="shared" si="7"/>
        <v>0</v>
      </c>
      <c r="J79" s="153">
        <f t="shared" si="7"/>
        <v>443</v>
      </c>
      <c r="K79" s="153">
        <f t="shared" si="7"/>
        <v>0</v>
      </c>
    </row>
    <row r="80" spans="1:18" ht="22.5" customHeight="1" x14ac:dyDescent="0.15">
      <c r="G80" s="154" t="str">
        <f t="shared" si="6"/>
        <v>ドリルネジ4×40</v>
      </c>
      <c r="H80" s="154"/>
      <c r="I80" s="154">
        <f t="shared" si="7"/>
        <v>0</v>
      </c>
      <c r="J80" s="155">
        <f t="shared" si="7"/>
        <v>1512</v>
      </c>
      <c r="K80" s="155">
        <f t="shared" si="7"/>
        <v>0</v>
      </c>
    </row>
    <row r="81" spans="3:11" ht="22.5" customHeight="1" x14ac:dyDescent="0.15">
      <c r="G81" s="179" t="s">
        <v>119</v>
      </c>
      <c r="H81" s="179"/>
      <c r="I81" s="156"/>
      <c r="J81" s="180">
        <f>K9</f>
        <v>0</v>
      </c>
      <c r="K81" s="180"/>
    </row>
    <row r="82" spans="3:11" ht="22.5" customHeight="1" x14ac:dyDescent="0.15">
      <c r="G82" s="143"/>
      <c r="H82" s="143"/>
      <c r="I82" s="143"/>
      <c r="J82" s="143"/>
      <c r="K82" s="143"/>
    </row>
    <row r="83" spans="3:11" ht="22.5" customHeight="1" x14ac:dyDescent="0.15">
      <c r="G83" s="147" t="s">
        <v>118</v>
      </c>
      <c r="H83" s="148"/>
      <c r="I83" s="149" t="s">
        <v>103</v>
      </c>
      <c r="J83" s="149" t="s">
        <v>104</v>
      </c>
      <c r="K83" s="149" t="s">
        <v>105</v>
      </c>
    </row>
    <row r="84" spans="3:11" ht="22.5" customHeight="1" x14ac:dyDescent="0.15">
      <c r="C84" s="142"/>
      <c r="D84" s="142"/>
      <c r="G84" s="150" t="str">
        <f>CONCATENATE(G18,H18)</f>
        <v>75角柱　75×75×</v>
      </c>
      <c r="H84" s="150"/>
      <c r="I84" s="150">
        <f>I18</f>
        <v>0</v>
      </c>
      <c r="J84" s="151">
        <f>J18</f>
        <v>4201</v>
      </c>
      <c r="K84" s="151">
        <f>K18</f>
        <v>0</v>
      </c>
    </row>
    <row r="85" spans="3:11" ht="22.5" customHeight="1" x14ac:dyDescent="0.15">
      <c r="G85" s="150" t="str">
        <f t="shared" ref="G85:G88" si="8">CONCATENATE(G19,H19)</f>
        <v>平板　100×15×L2000</v>
      </c>
      <c r="H85" s="150"/>
      <c r="I85" s="150">
        <f t="shared" ref="I85:K85" si="9">I19</f>
        <v>0</v>
      </c>
      <c r="J85" s="151">
        <f t="shared" si="9"/>
        <v>3704</v>
      </c>
      <c r="K85" s="151">
        <f t="shared" si="9"/>
        <v>0</v>
      </c>
    </row>
    <row r="86" spans="3:11" ht="22.5" customHeight="1" x14ac:dyDescent="0.15">
      <c r="G86" s="150" t="str">
        <f t="shared" si="8"/>
        <v>平板　100×15×L1000</v>
      </c>
      <c r="H86" s="150"/>
      <c r="I86" s="150">
        <f t="shared" ref="I86:K86" si="10">I20</f>
        <v>0</v>
      </c>
      <c r="J86" s="151">
        <f t="shared" si="10"/>
        <v>1890</v>
      </c>
      <c r="K86" s="151">
        <f t="shared" si="10"/>
        <v>0</v>
      </c>
    </row>
    <row r="87" spans="3:11" ht="22.5" customHeight="1" x14ac:dyDescent="0.15">
      <c r="G87" s="150" t="str">
        <f t="shared" si="8"/>
        <v>平板　キャップ</v>
      </c>
      <c r="H87" s="150"/>
      <c r="I87" s="150">
        <f t="shared" ref="I87:K87" si="11">I21</f>
        <v>0</v>
      </c>
      <c r="J87" s="151">
        <f t="shared" si="11"/>
        <v>346</v>
      </c>
      <c r="K87" s="151">
        <f t="shared" si="11"/>
        <v>0</v>
      </c>
    </row>
    <row r="88" spans="3:11" ht="22.5" customHeight="1" x14ac:dyDescent="0.15">
      <c r="G88" s="150" t="str">
        <f t="shared" si="8"/>
        <v>平板　連結材</v>
      </c>
      <c r="H88" s="150"/>
      <c r="I88" s="150">
        <f t="shared" ref="I88:K88" si="12">I22</f>
        <v>0</v>
      </c>
      <c r="J88" s="151">
        <f t="shared" si="12"/>
        <v>443</v>
      </c>
      <c r="K88" s="151">
        <f t="shared" si="12"/>
        <v>0</v>
      </c>
    </row>
    <row r="89" spans="3:11" ht="22.5" customHeight="1" x14ac:dyDescent="0.15">
      <c r="G89" s="150" t="str">
        <f>CONCATENATE(G23,H23)</f>
        <v>ドリルネジ4×40</v>
      </c>
      <c r="H89" s="150"/>
      <c r="I89" s="150">
        <f>I23</f>
        <v>0</v>
      </c>
      <c r="J89" s="151">
        <f>J23</f>
        <v>1512</v>
      </c>
      <c r="K89" s="151">
        <f>K23</f>
        <v>0</v>
      </c>
    </row>
    <row r="90" spans="3:11" ht="22.5" customHeight="1" x14ac:dyDescent="0.15">
      <c r="G90" s="179" t="s">
        <v>119</v>
      </c>
      <c r="H90" s="179"/>
      <c r="I90" s="156"/>
      <c r="J90" s="180">
        <f>K24</f>
        <v>0</v>
      </c>
      <c r="K90" s="180"/>
    </row>
    <row r="91" spans="3:11" ht="22.5" customHeight="1" x14ac:dyDescent="0.15">
      <c r="G91" s="143"/>
      <c r="H91" s="143"/>
      <c r="I91" s="143"/>
      <c r="J91" s="143"/>
      <c r="K91" s="143"/>
    </row>
    <row r="92" spans="3:11" ht="22.5" customHeight="1" x14ac:dyDescent="0.15">
      <c r="G92" s="147" t="s">
        <v>120</v>
      </c>
      <c r="H92" s="148"/>
      <c r="I92" s="149" t="s">
        <v>103</v>
      </c>
      <c r="J92" s="149" t="s">
        <v>104</v>
      </c>
      <c r="K92" s="149" t="s">
        <v>105</v>
      </c>
    </row>
    <row r="93" spans="3:11" ht="22.5" customHeight="1" x14ac:dyDescent="0.15">
      <c r="C93" s="142"/>
      <c r="D93" s="142"/>
      <c r="G93" s="150" t="str">
        <f>CONCATENATE(G33,H33)</f>
        <v>柱材　30×40×</v>
      </c>
      <c r="H93" s="150"/>
      <c r="I93" s="150">
        <f>I33</f>
        <v>0</v>
      </c>
      <c r="J93" s="151">
        <f>J33</f>
        <v>0</v>
      </c>
      <c r="K93" s="151">
        <f>K33</f>
        <v>0</v>
      </c>
    </row>
    <row r="94" spans="3:11" ht="22.5" customHeight="1" x14ac:dyDescent="0.15">
      <c r="G94" s="150" t="str">
        <f t="shared" ref="G94:G100" si="13">CONCATENATE(G34,H34)</f>
        <v>柱材用　鉄心</v>
      </c>
      <c r="H94" s="152"/>
      <c r="I94" s="152">
        <f t="shared" ref="I94:K94" si="14">I34</f>
        <v>0</v>
      </c>
      <c r="J94" s="153">
        <f t="shared" si="14"/>
        <v>1370</v>
      </c>
      <c r="K94" s="153">
        <f t="shared" si="14"/>
        <v>0</v>
      </c>
    </row>
    <row r="95" spans="3:11" ht="22.5" customHeight="1" x14ac:dyDescent="0.15">
      <c r="G95" s="150" t="str">
        <f t="shared" si="13"/>
        <v>柱材　キャップ</v>
      </c>
      <c r="H95" s="152"/>
      <c r="I95" s="152">
        <f t="shared" ref="I95:K95" si="15">I35</f>
        <v>0</v>
      </c>
      <c r="J95" s="153">
        <f t="shared" si="15"/>
        <v>270</v>
      </c>
      <c r="K95" s="153">
        <f t="shared" si="15"/>
        <v>0</v>
      </c>
    </row>
    <row r="96" spans="3:11" ht="22.5" customHeight="1" x14ac:dyDescent="0.15">
      <c r="G96" s="150" t="str">
        <f t="shared" si="13"/>
        <v>平板　100×15×L2000</v>
      </c>
      <c r="H96" s="152"/>
      <c r="I96" s="152">
        <f t="shared" ref="I96:K96" si="16">I36</f>
        <v>0</v>
      </c>
      <c r="J96" s="153">
        <f t="shared" si="16"/>
        <v>3704</v>
      </c>
      <c r="K96" s="153">
        <f t="shared" si="16"/>
        <v>0</v>
      </c>
    </row>
    <row r="97" spans="7:11" ht="22.5" customHeight="1" x14ac:dyDescent="0.15">
      <c r="G97" s="150" t="str">
        <f t="shared" si="13"/>
        <v>平板　100×15×L1000</v>
      </c>
      <c r="H97" s="152"/>
      <c r="I97" s="152">
        <f t="shared" ref="I97:K98" si="17">I37</f>
        <v>0</v>
      </c>
      <c r="J97" s="153">
        <f t="shared" si="17"/>
        <v>1890</v>
      </c>
      <c r="K97" s="153">
        <f t="shared" si="17"/>
        <v>0</v>
      </c>
    </row>
    <row r="98" spans="7:11" ht="22.5" customHeight="1" x14ac:dyDescent="0.15">
      <c r="G98" s="150" t="str">
        <f t="shared" si="13"/>
        <v>平板　キャップ</v>
      </c>
      <c r="H98" s="152"/>
      <c r="I98" s="152">
        <f t="shared" si="17"/>
        <v>0</v>
      </c>
      <c r="J98" s="153">
        <f t="shared" si="17"/>
        <v>346</v>
      </c>
      <c r="K98" s="153">
        <f t="shared" si="17"/>
        <v>0</v>
      </c>
    </row>
    <row r="99" spans="7:11" ht="22.5" customHeight="1" x14ac:dyDescent="0.15">
      <c r="G99" s="150" t="str">
        <f t="shared" si="13"/>
        <v>平板　連結材</v>
      </c>
      <c r="H99" s="157"/>
      <c r="I99" s="157">
        <f t="shared" ref="I99:K99" si="18">I39</f>
        <v>0</v>
      </c>
      <c r="J99" s="158">
        <f t="shared" si="18"/>
        <v>443</v>
      </c>
      <c r="K99" s="158">
        <f t="shared" si="18"/>
        <v>0</v>
      </c>
    </row>
    <row r="100" spans="7:11" ht="22.5" customHeight="1" x14ac:dyDescent="0.15">
      <c r="G100" s="150" t="str">
        <f t="shared" si="13"/>
        <v>ドリルネジ4×50</v>
      </c>
      <c r="H100" s="154"/>
      <c r="I100" s="154">
        <f t="shared" ref="I100:K100" si="19">I40</f>
        <v>0</v>
      </c>
      <c r="J100" s="155">
        <f t="shared" si="19"/>
        <v>1706</v>
      </c>
      <c r="K100" s="155">
        <f t="shared" si="19"/>
        <v>0</v>
      </c>
    </row>
    <row r="101" spans="7:11" ht="22.5" customHeight="1" x14ac:dyDescent="0.15">
      <c r="G101" s="179" t="s">
        <v>119</v>
      </c>
      <c r="H101" s="179"/>
      <c r="I101" s="156"/>
      <c r="J101" s="180">
        <f>K41</f>
        <v>0</v>
      </c>
      <c r="K101" s="180"/>
    </row>
    <row r="102" spans="7:11" x14ac:dyDescent="0.15">
      <c r="G102" s="70"/>
      <c r="H102" s="70"/>
      <c r="I102" s="70"/>
      <c r="J102" s="70"/>
      <c r="K102" s="70"/>
    </row>
    <row r="105" spans="7:11" ht="20.25" customHeight="1" x14ac:dyDescent="0.15">
      <c r="G105" s="147" t="s">
        <v>117</v>
      </c>
      <c r="H105" s="148"/>
      <c r="I105" s="149" t="s">
        <v>103</v>
      </c>
      <c r="J105" s="149" t="s">
        <v>104</v>
      </c>
      <c r="K105" s="149" t="s">
        <v>105</v>
      </c>
    </row>
    <row r="106" spans="7:11" ht="20.25" customHeight="1" x14ac:dyDescent="0.15">
      <c r="G106" s="159" t="str">
        <f>CONCATENATE(G48,H48)</f>
        <v>90角柱　90×90×</v>
      </c>
      <c r="H106" s="159"/>
      <c r="I106" s="159">
        <f>I48</f>
        <v>0</v>
      </c>
      <c r="J106" s="159">
        <f t="shared" ref="J106:K106" si="20">J48</f>
        <v>0</v>
      </c>
      <c r="K106" s="159">
        <f t="shared" si="20"/>
        <v>0</v>
      </c>
    </row>
    <row r="107" spans="7:11" ht="20.25" customHeight="1" x14ac:dyDescent="0.15">
      <c r="G107" s="179" t="s">
        <v>119</v>
      </c>
      <c r="H107" s="179"/>
      <c r="I107" s="156"/>
      <c r="J107" s="180">
        <f>K50</f>
        <v>0</v>
      </c>
      <c r="K107" s="180"/>
    </row>
    <row r="108" spans="7:11" ht="20.25" customHeight="1" x14ac:dyDescent="0.15"/>
    <row r="109" spans="7:11" ht="20.25" customHeight="1" x14ac:dyDescent="0.15">
      <c r="G109" s="147" t="s">
        <v>118</v>
      </c>
      <c r="H109" s="148"/>
      <c r="I109" s="149" t="s">
        <v>103</v>
      </c>
      <c r="J109" s="149" t="s">
        <v>104</v>
      </c>
      <c r="K109" s="149" t="s">
        <v>105</v>
      </c>
    </row>
    <row r="110" spans="7:11" ht="20.25" customHeight="1" x14ac:dyDescent="0.15">
      <c r="G110" s="159" t="str">
        <f>CONCATENATE(G53,H53)</f>
        <v>75角柱　75×75×</v>
      </c>
      <c r="H110" s="160"/>
      <c r="I110" s="159">
        <f>I53</f>
        <v>0</v>
      </c>
      <c r="J110" s="159">
        <f t="shared" ref="J110:K110" si="21">J53</f>
        <v>0</v>
      </c>
      <c r="K110" s="159">
        <f t="shared" si="21"/>
        <v>0</v>
      </c>
    </row>
    <row r="111" spans="7:11" ht="20.25" customHeight="1" x14ac:dyDescent="0.15">
      <c r="G111" s="179" t="s">
        <v>119</v>
      </c>
      <c r="H111" s="179"/>
      <c r="I111" s="156"/>
      <c r="J111" s="180">
        <f>K55</f>
        <v>0</v>
      </c>
      <c r="K111" s="180"/>
    </row>
    <row r="113" spans="4:11" ht="22.5" customHeight="1" x14ac:dyDescent="0.15">
      <c r="G113" s="147"/>
      <c r="H113" s="148"/>
      <c r="I113" s="149" t="s">
        <v>103</v>
      </c>
      <c r="J113" s="149" t="s">
        <v>104</v>
      </c>
      <c r="K113" s="149" t="s">
        <v>105</v>
      </c>
    </row>
    <row r="114" spans="4:11" ht="22.5" customHeight="1" x14ac:dyDescent="0.15">
      <c r="G114" s="159" t="str">
        <f>CONCATENATE(G59,H59)</f>
        <v>(縦)柱材30×40×</v>
      </c>
      <c r="H114" s="159"/>
      <c r="I114" s="159">
        <f>I59</f>
        <v>0</v>
      </c>
      <c r="J114" s="159">
        <f t="shared" ref="J114:K114" si="22">J59</f>
        <v>0</v>
      </c>
      <c r="K114" s="159">
        <f t="shared" si="22"/>
        <v>0</v>
      </c>
    </row>
    <row r="115" spans="4:11" ht="22.5" customHeight="1" x14ac:dyDescent="0.15">
      <c r="G115" s="152" t="str">
        <f t="shared" ref="G115:G119" si="23">CONCATENATE(G60,H60)</f>
        <v>（横）柱材30×40×L1200</v>
      </c>
      <c r="H115" s="152"/>
      <c r="I115" s="152">
        <f t="shared" ref="I115:K115" si="24">I60</f>
        <v>0</v>
      </c>
      <c r="J115" s="152">
        <f t="shared" si="24"/>
        <v>1890</v>
      </c>
      <c r="K115" s="152">
        <f t="shared" si="24"/>
        <v>0</v>
      </c>
    </row>
    <row r="116" spans="4:11" ht="22.5" customHeight="1" x14ac:dyDescent="0.15">
      <c r="G116" s="152" t="str">
        <f t="shared" si="23"/>
        <v>（横）柱材30×40×L800</v>
      </c>
      <c r="H116" s="152"/>
      <c r="I116" s="152">
        <f t="shared" ref="I116:K116" si="25">I61</f>
        <v>0</v>
      </c>
      <c r="J116" s="152">
        <f t="shared" si="25"/>
        <v>1328</v>
      </c>
      <c r="K116" s="152">
        <f t="shared" si="25"/>
        <v>0</v>
      </c>
    </row>
    <row r="117" spans="4:11" ht="22.5" customHeight="1" x14ac:dyDescent="0.15">
      <c r="G117" s="152" t="str">
        <f t="shared" si="23"/>
        <v>柱材キャップ</v>
      </c>
      <c r="H117" s="152"/>
      <c r="I117" s="152">
        <f t="shared" ref="I117:K117" si="26">I62</f>
        <v>0</v>
      </c>
      <c r="J117" s="152">
        <f t="shared" si="26"/>
        <v>270</v>
      </c>
      <c r="K117" s="152">
        <f t="shared" si="26"/>
        <v>0</v>
      </c>
    </row>
    <row r="118" spans="4:11" ht="22.5" customHeight="1" x14ac:dyDescent="0.15">
      <c r="G118" s="152" t="str">
        <f t="shared" si="23"/>
        <v>柱材連結材(2個入り）</v>
      </c>
      <c r="H118" s="152"/>
      <c r="I118" s="152">
        <f t="shared" ref="I118:K118" si="27">I63</f>
        <v>0</v>
      </c>
      <c r="J118" s="152">
        <f t="shared" si="27"/>
        <v>950</v>
      </c>
      <c r="K118" s="152">
        <f t="shared" si="27"/>
        <v>0</v>
      </c>
    </row>
    <row r="119" spans="4:11" ht="22.5" customHeight="1" x14ac:dyDescent="0.15">
      <c r="G119" s="159" t="str">
        <f t="shared" si="23"/>
        <v>ドリルネジ4×50</v>
      </c>
      <c r="H119" s="159"/>
      <c r="I119" s="159">
        <f t="shared" ref="I119:K119" si="28">I64</f>
        <v>0</v>
      </c>
      <c r="J119" s="159">
        <f t="shared" si="28"/>
        <v>1706</v>
      </c>
      <c r="K119" s="159">
        <f t="shared" si="28"/>
        <v>0</v>
      </c>
    </row>
    <row r="120" spans="4:11" ht="22.5" customHeight="1" x14ac:dyDescent="0.15">
      <c r="G120" s="179" t="s">
        <v>119</v>
      </c>
      <c r="H120" s="179"/>
      <c r="I120" s="156"/>
      <c r="J120" s="180">
        <f>K65</f>
        <v>0</v>
      </c>
      <c r="K120" s="180"/>
    </row>
    <row r="121" spans="4:11" ht="22.5" customHeight="1" x14ac:dyDescent="0.15"/>
    <row r="122" spans="4:11" ht="22.5" customHeight="1" x14ac:dyDescent="0.15"/>
    <row r="123" spans="4:11" ht="22.5" customHeight="1" x14ac:dyDescent="0.15"/>
    <row r="124" spans="4:11" ht="22.5" customHeight="1" x14ac:dyDescent="0.15"/>
    <row r="125" spans="4:11" ht="22.5" customHeight="1" x14ac:dyDescent="0.15"/>
    <row r="126" spans="4:11" ht="22.5" customHeight="1" x14ac:dyDescent="0.15"/>
    <row r="127" spans="4:11" ht="15.75" customHeight="1" x14ac:dyDescent="0.15"/>
    <row r="128" spans="4:11" ht="14.25" x14ac:dyDescent="0.2">
      <c r="D128" s="1"/>
    </row>
    <row r="129" spans="4:8" ht="20.25" customHeight="1" x14ac:dyDescent="0.2">
      <c r="D129" s="1"/>
      <c r="G129" s="163" ph="1"/>
      <c r="H129" s="1"/>
    </row>
    <row r="130" spans="4:8" ht="14.25" customHeight="1" x14ac:dyDescent="0.2">
      <c r="D130" s="1"/>
      <c r="G130" s="164"/>
      <c r="H130" s="163"/>
    </row>
    <row r="131" spans="4:8" ht="14.25" customHeight="1" x14ac:dyDescent="0.2">
      <c r="D131" s="1"/>
      <c r="G131" s="164"/>
      <c r="H131" s="163"/>
    </row>
    <row r="132" spans="4:8" ht="14.25" customHeight="1" x14ac:dyDescent="0.2">
      <c r="D132" s="163"/>
      <c r="G132" s="164"/>
      <c r="H132" s="163"/>
    </row>
    <row r="133" spans="4:8" ht="14.25" customHeight="1" x14ac:dyDescent="0.2">
      <c r="G133" s="164"/>
      <c r="H133" s="163"/>
    </row>
  </sheetData>
  <sheetProtection algorithmName="SHA-512" hashValue="B7ZzAuMY156c5IRtAVIk/x945oJPunFcGo+Ik+IimOjByP5h6I6IBDO09bVK6Ksok11PIWr4k6UQ/x0PYRKAJg==" saltValue="tPj49oymRRuUXNPx7TpHJA==" spinCount="100000" sheet="1" objects="1" scenarios="1" selectLockedCells="1"/>
  <mergeCells count="16">
    <mergeCell ref="Q75:R75"/>
    <mergeCell ref="Q76:R76"/>
    <mergeCell ref="G101:H101"/>
    <mergeCell ref="J101:K101"/>
    <mergeCell ref="F7:F8"/>
    <mergeCell ref="G63:H63"/>
    <mergeCell ref="G81:H81"/>
    <mergeCell ref="J81:K81"/>
    <mergeCell ref="G90:H90"/>
    <mergeCell ref="J90:K90"/>
    <mergeCell ref="G107:H107"/>
    <mergeCell ref="J107:K107"/>
    <mergeCell ref="G111:H111"/>
    <mergeCell ref="J111:K111"/>
    <mergeCell ref="G120:H120"/>
    <mergeCell ref="J120:K12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簡単見積依頼</vt:lpstr>
      <vt:lpstr>計算シート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INCアイエスアイ</dc:creator>
  <cp:lastModifiedBy>INCアイエスアイ</cp:lastModifiedBy>
  <cp:lastPrinted>2017-03-22T04:20:41Z</cp:lastPrinted>
  <dcterms:created xsi:type="dcterms:W3CDTF">2017-02-28T05:02:14Z</dcterms:created>
  <dcterms:modified xsi:type="dcterms:W3CDTF">2017-06-13T02:50:25Z</dcterms:modified>
</cp:coreProperties>
</file>